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ul.datalatu.fi\svu\KILPAILUVALIOKUNTA\Ottelulaskimet ja ennätykset\"/>
    </mc:Choice>
  </mc:AlternateContent>
  <xr:revisionPtr revIDLastSave="0" documentId="13_ncr:1_{037B7AAA-ECD3-44C2-8871-6C7716A33606}" xr6:coauthVersionLast="47" xr6:coauthVersionMax="47" xr10:uidLastSave="{00000000-0000-0000-0000-000000000000}"/>
  <bookViews>
    <workbookView xWindow="-120" yWindow="-120" windowWidth="27645" windowHeight="16440" tabRatio="865" firstSheet="2" activeTab="2" xr2:uid="{00000000-000D-0000-FFFF-FFFF00000000}"/>
  </bookViews>
  <sheets>
    <sheet name="M-5ottelu" sheetId="5" state="hidden" r:id="rId1"/>
    <sheet name="W-5ottelu" sheetId="2" state="hidden" r:id="rId2"/>
    <sheet name="MIEHET" sheetId="6" r:id="rId3"/>
    <sheet name="M-halli7-ottelu" sheetId="12" state="hidden" r:id="rId4"/>
    <sheet name="NAISET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3" l="1"/>
  <c r="Y11" i="13"/>
  <c r="Z11" i="13"/>
  <c r="X16" i="13"/>
  <c r="Y16" i="13"/>
  <c r="Z16" i="13"/>
  <c r="X21" i="13"/>
  <c r="Y21" i="13"/>
  <c r="Z21" i="13"/>
  <c r="AA21" i="13"/>
  <c r="AB21" i="13"/>
  <c r="X26" i="13"/>
  <c r="Y26" i="13"/>
  <c r="Z26" i="13"/>
  <c r="AA26" i="13"/>
  <c r="AB26" i="13"/>
  <c r="X31" i="13"/>
  <c r="Y31" i="13"/>
  <c r="Z31" i="13"/>
  <c r="AA31" i="13"/>
  <c r="AB31" i="13"/>
  <c r="X36" i="13"/>
  <c r="Y36" i="13"/>
  <c r="Z36" i="13"/>
  <c r="AA36" i="13"/>
  <c r="AB36" i="13"/>
  <c r="X41" i="13"/>
  <c r="Y41" i="13"/>
  <c r="Z41" i="13"/>
  <c r="AA41" i="13"/>
  <c r="AB41" i="13"/>
  <c r="X46" i="13"/>
  <c r="Y46" i="13"/>
  <c r="Z46" i="13"/>
  <c r="AA46" i="13"/>
  <c r="AB46" i="13"/>
  <c r="X51" i="13"/>
  <c r="Y51" i="13"/>
  <c r="Z51" i="13"/>
  <c r="AA51" i="13"/>
  <c r="AB51" i="13"/>
  <c r="X56" i="13"/>
  <c r="Y56" i="13"/>
  <c r="Z56" i="13"/>
  <c r="AA56" i="13"/>
  <c r="AB56" i="13"/>
  <c r="X61" i="13"/>
  <c r="Y61" i="13"/>
  <c r="Z61" i="13"/>
  <c r="AA61" i="13"/>
  <c r="AB61" i="13"/>
  <c r="X66" i="13"/>
  <c r="Y66" i="13"/>
  <c r="Z66" i="13"/>
  <c r="AA66" i="13"/>
  <c r="AB66" i="13"/>
  <c r="X71" i="13"/>
  <c r="Y71" i="13"/>
  <c r="Z71" i="13"/>
  <c r="AA71" i="13"/>
  <c r="AB71" i="13"/>
  <c r="X76" i="13"/>
  <c r="Y76" i="13"/>
  <c r="Z76" i="13"/>
  <c r="AA76" i="13"/>
  <c r="AB76" i="13"/>
  <c r="AB81" i="13"/>
  <c r="AA81" i="13"/>
  <c r="Z81" i="13"/>
  <c r="Y81" i="13"/>
  <c r="X81" i="13"/>
  <c r="AB82" i="6"/>
  <c r="AA82" i="6"/>
  <c r="Z82" i="6"/>
  <c r="Y82" i="6"/>
  <c r="X82" i="6"/>
  <c r="AB77" i="6"/>
  <c r="AA77" i="6"/>
  <c r="Z77" i="6"/>
  <c r="Y77" i="6"/>
  <c r="X77" i="6"/>
  <c r="AB72" i="6"/>
  <c r="AA72" i="6"/>
  <c r="Z72" i="6"/>
  <c r="Y72" i="6"/>
  <c r="X72" i="6"/>
  <c r="AB67" i="6"/>
  <c r="AA67" i="6"/>
  <c r="Z67" i="6"/>
  <c r="Y67" i="6"/>
  <c r="X67" i="6"/>
  <c r="AB62" i="6"/>
  <c r="AA62" i="6"/>
  <c r="Z62" i="6"/>
  <c r="Y62" i="6"/>
  <c r="X62" i="6"/>
  <c r="AB57" i="6"/>
  <c r="AA57" i="6"/>
  <c r="Z57" i="6"/>
  <c r="Y57" i="6"/>
  <c r="X57" i="6"/>
  <c r="AB52" i="6"/>
  <c r="AA52" i="6"/>
  <c r="Z52" i="6"/>
  <c r="Y52" i="6"/>
  <c r="X52" i="6"/>
  <c r="AB47" i="6"/>
  <c r="AA47" i="6"/>
  <c r="Z47" i="6"/>
  <c r="Y47" i="6"/>
  <c r="X47" i="6"/>
  <c r="AB42" i="6"/>
  <c r="AA42" i="6"/>
  <c r="Z42" i="6"/>
  <c r="Y42" i="6"/>
  <c r="X42" i="6"/>
  <c r="AB37" i="6"/>
  <c r="AA37" i="6"/>
  <c r="Z37" i="6"/>
  <c r="Y37" i="6"/>
  <c r="X37" i="6"/>
  <c r="AB32" i="6"/>
  <c r="AA32" i="6"/>
  <c r="Z32" i="6"/>
  <c r="Y32" i="6"/>
  <c r="X32" i="6"/>
  <c r="AB27" i="6"/>
  <c r="AA27" i="6"/>
  <c r="Z27" i="6"/>
  <c r="Y27" i="6"/>
  <c r="X27" i="6"/>
  <c r="Y12" i="6"/>
  <c r="Z12" i="6"/>
  <c r="Y17" i="6"/>
  <c r="Z17" i="6"/>
  <c r="Y22" i="6"/>
  <c r="Z22" i="6"/>
  <c r="AA22" i="6"/>
  <c r="AB22" i="6"/>
  <c r="X22" i="6"/>
  <c r="X17" i="6"/>
  <c r="X12" i="6"/>
  <c r="F81" i="13"/>
  <c r="F82" i="13" s="1"/>
  <c r="F76" i="13"/>
  <c r="F77" i="13" s="1"/>
  <c r="F71" i="13"/>
  <c r="F72" i="13" s="1"/>
  <c r="F66" i="13"/>
  <c r="F67" i="13" s="1"/>
  <c r="F61" i="13"/>
  <c r="F62" i="13" s="1"/>
  <c r="F56" i="13"/>
  <c r="F57" i="13" s="1"/>
  <c r="F51" i="13"/>
  <c r="F52" i="13" s="1"/>
  <c r="F46" i="13"/>
  <c r="F47" i="13" s="1"/>
  <c r="F41" i="13"/>
  <c r="F42" i="13" s="1"/>
  <c r="F37" i="13"/>
  <c r="F36" i="13"/>
  <c r="F26" i="13"/>
  <c r="F27" i="13" s="1"/>
  <c r="F17" i="13"/>
  <c r="F16" i="13"/>
  <c r="F21" i="13"/>
  <c r="F22" i="13" s="1"/>
  <c r="F31" i="13"/>
  <c r="F32" i="13" s="1"/>
  <c r="F12" i="13"/>
  <c r="U81" i="13"/>
  <c r="U82" i="13" s="1"/>
  <c r="U76" i="13"/>
  <c r="U77" i="13" s="1"/>
  <c r="U71" i="13"/>
  <c r="U72" i="13" s="1"/>
  <c r="U66" i="13"/>
  <c r="U67" i="13" s="1"/>
  <c r="U61" i="13"/>
  <c r="U62" i="13" s="1"/>
  <c r="U56" i="13"/>
  <c r="U57" i="13" s="1"/>
  <c r="U51" i="13"/>
  <c r="U52" i="13" s="1"/>
  <c r="U46" i="13"/>
  <c r="U47" i="13" s="1"/>
  <c r="U41" i="13"/>
  <c r="U42" i="13" s="1"/>
  <c r="U36" i="13"/>
  <c r="U37" i="13" s="1"/>
  <c r="U31" i="13"/>
  <c r="U32" i="13" s="1"/>
  <c r="U26" i="13"/>
  <c r="U27" i="13" s="1"/>
  <c r="U21" i="13"/>
  <c r="U22" i="13" s="1"/>
  <c r="U16" i="13"/>
  <c r="U17" i="13" s="1"/>
  <c r="T81" i="13"/>
  <c r="T82" i="13" s="1"/>
  <c r="T76" i="13"/>
  <c r="T77" i="13" s="1"/>
  <c r="T71" i="13"/>
  <c r="T72" i="13" s="1"/>
  <c r="T66" i="13"/>
  <c r="T67" i="13" s="1"/>
  <c r="T61" i="13"/>
  <c r="T62" i="13" s="1"/>
  <c r="T56" i="13"/>
  <c r="T57" i="13" s="1"/>
  <c r="T51" i="13"/>
  <c r="T52" i="13" s="1"/>
  <c r="T46" i="13"/>
  <c r="T47" i="13" s="1"/>
  <c r="T41" i="13"/>
  <c r="T42" i="13" s="1"/>
  <c r="T36" i="13"/>
  <c r="T37" i="13" s="1"/>
  <c r="T31" i="13"/>
  <c r="T32" i="13" s="1"/>
  <c r="T26" i="13"/>
  <c r="T27" i="13" s="1"/>
  <c r="T21" i="13"/>
  <c r="T22" i="13" s="1"/>
  <c r="T16" i="13"/>
  <c r="T17" i="13" s="1"/>
  <c r="I81" i="13"/>
  <c r="I82" i="13" s="1"/>
  <c r="I76" i="13"/>
  <c r="I77" i="13" s="1"/>
  <c r="I71" i="13"/>
  <c r="I72" i="13" s="1"/>
  <c r="I66" i="13"/>
  <c r="I67" i="13" s="1"/>
  <c r="I61" i="13"/>
  <c r="I62" i="13" s="1"/>
  <c r="I56" i="13"/>
  <c r="I57" i="13" s="1"/>
  <c r="I51" i="13"/>
  <c r="I52" i="13" s="1"/>
  <c r="I46" i="13"/>
  <c r="I47" i="13" s="1"/>
  <c r="I41" i="13"/>
  <c r="I42" i="13" s="1"/>
  <c r="I36" i="13"/>
  <c r="I37" i="13" s="1"/>
  <c r="I31" i="13"/>
  <c r="I32" i="13" s="1"/>
  <c r="I26" i="13"/>
  <c r="I27" i="13" s="1"/>
  <c r="I21" i="13"/>
  <c r="I22" i="13" s="1"/>
  <c r="I16" i="13"/>
  <c r="I17" i="13" s="1"/>
  <c r="H81" i="13"/>
  <c r="H82" i="13" s="1"/>
  <c r="H76" i="13"/>
  <c r="H77" i="13" s="1"/>
  <c r="H71" i="13"/>
  <c r="H72" i="13" s="1"/>
  <c r="H66" i="13"/>
  <c r="H67" i="13" s="1"/>
  <c r="H61" i="13"/>
  <c r="H62" i="13" s="1"/>
  <c r="H56" i="13"/>
  <c r="H57" i="13" s="1"/>
  <c r="H51" i="13"/>
  <c r="H52" i="13" s="1"/>
  <c r="H46" i="13"/>
  <c r="H47" i="13" s="1"/>
  <c r="H41" i="13"/>
  <c r="H42" i="13" s="1"/>
  <c r="H36" i="13"/>
  <c r="H37" i="13" s="1"/>
  <c r="H31" i="13"/>
  <c r="H32" i="13" s="1"/>
  <c r="H26" i="13"/>
  <c r="H27" i="13" s="1"/>
  <c r="H21" i="13"/>
  <c r="H22" i="13" s="1"/>
  <c r="H16" i="13"/>
  <c r="H17" i="13" s="1"/>
  <c r="G81" i="13"/>
  <c r="G82" i="13" s="1"/>
  <c r="G76" i="13"/>
  <c r="G77" i="13" s="1"/>
  <c r="G71" i="13"/>
  <c r="G72" i="13" s="1"/>
  <c r="G66" i="13"/>
  <c r="G67" i="13" s="1"/>
  <c r="G61" i="13"/>
  <c r="G62" i="13" s="1"/>
  <c r="G56" i="13"/>
  <c r="G57" i="13" s="1"/>
  <c r="G51" i="13"/>
  <c r="G52" i="13" s="1"/>
  <c r="G46" i="13"/>
  <c r="G47" i="13" s="1"/>
  <c r="G41" i="13"/>
  <c r="G42" i="13" s="1"/>
  <c r="G36" i="13"/>
  <c r="G37" i="13" s="1"/>
  <c r="G31" i="13"/>
  <c r="G32" i="13" s="1"/>
  <c r="G26" i="13"/>
  <c r="G27" i="13" s="1"/>
  <c r="G21" i="13"/>
  <c r="G22" i="13" s="1"/>
  <c r="G16" i="13"/>
  <c r="G17" i="13" s="1"/>
  <c r="M81" i="13"/>
  <c r="M82" i="13" s="1"/>
  <c r="M76" i="13"/>
  <c r="M77" i="13" s="1"/>
  <c r="M71" i="13"/>
  <c r="M72" i="13" s="1"/>
  <c r="M66" i="13"/>
  <c r="M67" i="13" s="1"/>
  <c r="M61" i="13"/>
  <c r="M62" i="13" s="1"/>
  <c r="M56" i="13"/>
  <c r="M57" i="13" s="1"/>
  <c r="M51" i="13"/>
  <c r="M52" i="13" s="1"/>
  <c r="M46" i="13"/>
  <c r="M47" i="13" s="1"/>
  <c r="M41" i="13"/>
  <c r="M42" i="13" s="1"/>
  <c r="M36" i="13"/>
  <c r="M37" i="13" s="1"/>
  <c r="M31" i="13"/>
  <c r="M32" i="13" s="1"/>
  <c r="M26" i="13"/>
  <c r="M27" i="13" s="1"/>
  <c r="M21" i="13"/>
  <c r="M22" i="13" s="1"/>
  <c r="M16" i="13"/>
  <c r="M17" i="13" s="1"/>
  <c r="K81" i="13"/>
  <c r="K82" i="13" s="1"/>
  <c r="K76" i="13"/>
  <c r="K77" i="13" s="1"/>
  <c r="K71" i="13"/>
  <c r="K72" i="13" s="1"/>
  <c r="K66" i="13"/>
  <c r="K67" i="13" s="1"/>
  <c r="K61" i="13"/>
  <c r="K62" i="13" s="1"/>
  <c r="K56" i="13"/>
  <c r="K57" i="13" s="1"/>
  <c r="K51" i="13"/>
  <c r="K52" i="13" s="1"/>
  <c r="K46" i="13"/>
  <c r="K47" i="13" s="1"/>
  <c r="K41" i="13"/>
  <c r="K42" i="13" s="1"/>
  <c r="K36" i="13"/>
  <c r="K37" i="13" s="1"/>
  <c r="K31" i="13"/>
  <c r="K32" i="13" s="1"/>
  <c r="K26" i="13"/>
  <c r="K27" i="13" s="1"/>
  <c r="K21" i="13"/>
  <c r="K22" i="13" s="1"/>
  <c r="K16" i="13"/>
  <c r="K17" i="13" s="1"/>
  <c r="D81" i="13"/>
  <c r="D82" i="13" s="1"/>
  <c r="D76" i="13"/>
  <c r="D77" i="13" s="1"/>
  <c r="D71" i="13"/>
  <c r="D72" i="13" s="1"/>
  <c r="D66" i="13"/>
  <c r="D67" i="13" s="1"/>
  <c r="D61" i="13"/>
  <c r="D62" i="13" s="1"/>
  <c r="D56" i="13"/>
  <c r="D57" i="13" s="1"/>
  <c r="D51" i="13"/>
  <c r="D52" i="13" s="1"/>
  <c r="D46" i="13"/>
  <c r="D47" i="13" s="1"/>
  <c r="D41" i="13"/>
  <c r="D42" i="13" s="1"/>
  <c r="D36" i="13"/>
  <c r="D37" i="13" s="1"/>
  <c r="D31" i="13"/>
  <c r="D32" i="13" s="1"/>
  <c r="D26" i="13"/>
  <c r="D27" i="13" s="1"/>
  <c r="D21" i="13"/>
  <c r="D22" i="13" s="1"/>
  <c r="D16" i="13"/>
  <c r="D17" i="13" s="1"/>
  <c r="F11" i="13"/>
  <c r="U11" i="13"/>
  <c r="U12" i="13" s="1"/>
  <c r="T11" i="13"/>
  <c r="T12" i="13" s="1"/>
  <c r="M11" i="13"/>
  <c r="M12" i="13" s="1"/>
  <c r="K11" i="13"/>
  <c r="K12" i="13" s="1"/>
  <c r="I11" i="13"/>
  <c r="I12" i="13" s="1"/>
  <c r="H11" i="13"/>
  <c r="H12" i="13" s="1"/>
  <c r="G11" i="13"/>
  <c r="G12" i="13" s="1"/>
  <c r="D11" i="13"/>
  <c r="D12" i="13" s="1"/>
  <c r="I82" i="6" l="1"/>
  <c r="I83" i="6" s="1"/>
  <c r="I77" i="6"/>
  <c r="I78" i="6" s="1"/>
  <c r="I72" i="6"/>
  <c r="I73" i="6" s="1"/>
  <c r="I67" i="6"/>
  <c r="I68" i="6" s="1"/>
  <c r="I62" i="6"/>
  <c r="I63" i="6" s="1"/>
  <c r="I57" i="6"/>
  <c r="I58" i="6" s="1"/>
  <c r="I52" i="6"/>
  <c r="I53" i="6" s="1"/>
  <c r="I47" i="6"/>
  <c r="I48" i="6" s="1"/>
  <c r="I42" i="6"/>
  <c r="I43" i="6" s="1"/>
  <c r="I37" i="6"/>
  <c r="I38" i="6" s="1"/>
  <c r="I32" i="6"/>
  <c r="I33" i="6" s="1"/>
  <c r="I27" i="6"/>
  <c r="I28" i="6" s="1"/>
  <c r="I22" i="6"/>
  <c r="I23" i="6" s="1"/>
  <c r="I17" i="6"/>
  <c r="I18" i="6" s="1"/>
  <c r="T82" i="6"/>
  <c r="T83" i="6" s="1"/>
  <c r="T77" i="6"/>
  <c r="T78" i="6" s="1"/>
  <c r="T72" i="6"/>
  <c r="T73" i="6" s="1"/>
  <c r="T67" i="6"/>
  <c r="T68" i="6" s="1"/>
  <c r="T62" i="6"/>
  <c r="T63" i="6" s="1"/>
  <c r="T57" i="6"/>
  <c r="T58" i="6" s="1"/>
  <c r="T52" i="6"/>
  <c r="T53" i="6" s="1"/>
  <c r="T47" i="6"/>
  <c r="T48" i="6" s="1"/>
  <c r="T42" i="6"/>
  <c r="T43" i="6" s="1"/>
  <c r="U82" i="6"/>
  <c r="U83" i="6" s="1"/>
  <c r="U77" i="6"/>
  <c r="U78" i="6" s="1"/>
  <c r="U72" i="6"/>
  <c r="U73" i="6" s="1"/>
  <c r="U67" i="6"/>
  <c r="U68" i="6" s="1"/>
  <c r="U62" i="6"/>
  <c r="U63" i="6" s="1"/>
  <c r="U57" i="6"/>
  <c r="U58" i="6" s="1"/>
  <c r="U52" i="6"/>
  <c r="U53" i="6" s="1"/>
  <c r="U47" i="6"/>
  <c r="U48" i="6" s="1"/>
  <c r="U42" i="6"/>
  <c r="U43" i="6" s="1"/>
  <c r="U37" i="6"/>
  <c r="U38" i="6" s="1"/>
  <c r="U32" i="6"/>
  <c r="U33" i="6" s="1"/>
  <c r="U27" i="6"/>
  <c r="U28" i="6" s="1"/>
  <c r="U22" i="6"/>
  <c r="U23" i="6" s="1"/>
  <c r="U17" i="6"/>
  <c r="U18" i="6" s="1"/>
  <c r="T37" i="6"/>
  <c r="T38" i="6" s="1"/>
  <c r="T32" i="6"/>
  <c r="T33" i="6" s="1"/>
  <c r="T27" i="6"/>
  <c r="T28" i="6" s="1"/>
  <c r="T22" i="6"/>
  <c r="T23" i="6" s="1"/>
  <c r="K82" i="6"/>
  <c r="K83" i="6" s="1"/>
  <c r="K77" i="6"/>
  <c r="K78" i="6" s="1"/>
  <c r="K72" i="6"/>
  <c r="K73" i="6" s="1"/>
  <c r="K67" i="6"/>
  <c r="K68" i="6" s="1"/>
  <c r="K62" i="6"/>
  <c r="K63" i="6" s="1"/>
  <c r="K57" i="6"/>
  <c r="K58" i="6" s="1"/>
  <c r="K52" i="6"/>
  <c r="K53" i="6" s="1"/>
  <c r="K47" i="6"/>
  <c r="K48" i="6" s="1"/>
  <c r="K42" i="6"/>
  <c r="K43" i="6" s="1"/>
  <c r="K37" i="6"/>
  <c r="K38" i="6" s="1"/>
  <c r="K32" i="6"/>
  <c r="K33" i="6" s="1"/>
  <c r="K27" i="6"/>
  <c r="K28" i="6" s="1"/>
  <c r="K22" i="6"/>
  <c r="K23" i="6" s="1"/>
  <c r="K17" i="6"/>
  <c r="K18" i="6" s="1"/>
  <c r="K12" i="6"/>
  <c r="K13" i="6" s="1"/>
  <c r="B81" i="13" l="1"/>
  <c r="B82" i="13" s="1"/>
  <c r="B76" i="13"/>
  <c r="B77" i="13" s="1"/>
  <c r="B71" i="13"/>
  <c r="B72" i="13" s="1"/>
  <c r="B66" i="13"/>
  <c r="B67" i="13" s="1"/>
  <c r="B61" i="13"/>
  <c r="B62" i="13" s="1"/>
  <c r="B56" i="13"/>
  <c r="B57" i="13" s="1"/>
  <c r="B51" i="13"/>
  <c r="B52" i="13" s="1"/>
  <c r="B46" i="13"/>
  <c r="B47" i="13" s="1"/>
  <c r="B41" i="13"/>
  <c r="B42" i="13" s="1"/>
  <c r="B36" i="13"/>
  <c r="B37" i="13" s="1"/>
  <c r="B31" i="13"/>
  <c r="B32" i="13" s="1"/>
  <c r="B26" i="13"/>
  <c r="B27" i="13" s="1"/>
  <c r="B21" i="13"/>
  <c r="B22" i="13" s="1"/>
  <c r="B16" i="13"/>
  <c r="B17" i="13" s="1"/>
  <c r="B11" i="13"/>
  <c r="B12" i="13" s="1"/>
  <c r="T17" i="6" l="1"/>
  <c r="T18" i="6" s="1"/>
  <c r="G47" i="6"/>
  <c r="G48" i="6" s="1"/>
  <c r="G42" i="6"/>
  <c r="G43" i="6" s="1"/>
  <c r="G37" i="6"/>
  <c r="G38" i="6" s="1"/>
  <c r="G32" i="6"/>
  <c r="G33" i="6" s="1"/>
  <c r="G27" i="6"/>
  <c r="G28" i="6" s="1"/>
  <c r="G22" i="6"/>
  <c r="G23" i="6" s="1"/>
  <c r="G17" i="6"/>
  <c r="G18" i="6" s="1"/>
  <c r="H47" i="6"/>
  <c r="H48" i="6" s="1"/>
  <c r="H82" i="6"/>
  <c r="H83" i="6" s="1"/>
  <c r="H77" i="6"/>
  <c r="H78" i="6" s="1"/>
  <c r="H72" i="6"/>
  <c r="H73" i="6" s="1"/>
  <c r="H67" i="6"/>
  <c r="H68" i="6" s="1"/>
  <c r="H62" i="6"/>
  <c r="H63" i="6" s="1"/>
  <c r="H57" i="6"/>
  <c r="H58" i="6" s="1"/>
  <c r="H52" i="6"/>
  <c r="H53" i="6" s="1"/>
  <c r="H42" i="6"/>
  <c r="H43" i="6" s="1"/>
  <c r="H37" i="6"/>
  <c r="H38" i="6" s="1"/>
  <c r="H32" i="6"/>
  <c r="H33" i="6" s="1"/>
  <c r="H27" i="6"/>
  <c r="H28" i="6" s="1"/>
  <c r="H22" i="6"/>
  <c r="H23" i="6" s="1"/>
  <c r="H17" i="6"/>
  <c r="H18" i="6" s="1"/>
  <c r="G82" i="6"/>
  <c r="G83" i="6" s="1"/>
  <c r="G77" i="6"/>
  <c r="G78" i="6" s="1"/>
  <c r="G72" i="6"/>
  <c r="G73" i="6" s="1"/>
  <c r="G67" i="6"/>
  <c r="G68" i="6" s="1"/>
  <c r="G62" i="6"/>
  <c r="G63" i="6" s="1"/>
  <c r="G57" i="6"/>
  <c r="G58" i="6" s="1"/>
  <c r="G52" i="6"/>
  <c r="G53" i="6" s="1"/>
  <c r="D12" i="6"/>
  <c r="D13" i="6" s="1"/>
  <c r="T12" i="6"/>
  <c r="T13" i="6" s="1"/>
  <c r="U12" i="6"/>
  <c r="U13" i="6" s="1"/>
  <c r="H12" i="6"/>
  <c r="H13" i="6" s="1"/>
  <c r="I12" i="6"/>
  <c r="I13" i="6" s="1"/>
  <c r="G12" i="6"/>
  <c r="G13" i="6" s="1"/>
  <c r="E82" i="6"/>
  <c r="E83" i="6" s="1"/>
  <c r="E77" i="6"/>
  <c r="E78" i="6" s="1"/>
  <c r="E72" i="6"/>
  <c r="E73" i="6" s="1"/>
  <c r="E67" i="6"/>
  <c r="E68" i="6" s="1"/>
  <c r="E62" i="6"/>
  <c r="E63" i="6" s="1"/>
  <c r="E57" i="6"/>
  <c r="E58" i="6" s="1"/>
  <c r="E52" i="6"/>
  <c r="E53" i="6" s="1"/>
  <c r="E47" i="6"/>
  <c r="E48" i="6" s="1"/>
  <c r="E42" i="6"/>
  <c r="E43" i="6" s="1"/>
  <c r="E37" i="6"/>
  <c r="E38" i="6" s="1"/>
  <c r="E32" i="6"/>
  <c r="E33" i="6" s="1"/>
  <c r="E27" i="6"/>
  <c r="E28" i="6" s="1"/>
  <c r="E22" i="6"/>
  <c r="E23" i="6" s="1"/>
  <c r="E17" i="6"/>
  <c r="E18" i="6" s="1"/>
  <c r="E12" i="6"/>
  <c r="E13" i="6" s="1"/>
  <c r="C82" i="6"/>
  <c r="C83" i="6" s="1"/>
  <c r="C77" i="6"/>
  <c r="C78" i="6" s="1"/>
  <c r="C72" i="6"/>
  <c r="C73" i="6" s="1"/>
  <c r="C67" i="6"/>
  <c r="C68" i="6" s="1"/>
  <c r="C62" i="6"/>
  <c r="C63" i="6" s="1"/>
  <c r="C57" i="6"/>
  <c r="C58" i="6" s="1"/>
  <c r="C52" i="6"/>
  <c r="C53" i="6" s="1"/>
  <c r="C47" i="6"/>
  <c r="C48" i="6" s="1"/>
  <c r="C42" i="6"/>
  <c r="C43" i="6" s="1"/>
  <c r="C37" i="6"/>
  <c r="C38" i="6" s="1"/>
  <c r="C32" i="6"/>
  <c r="C33" i="6" s="1"/>
  <c r="C27" i="6"/>
  <c r="C28" i="6" s="1"/>
  <c r="C22" i="6"/>
  <c r="C23" i="6" s="1"/>
  <c r="C12" i="6"/>
  <c r="C13" i="6" s="1"/>
  <c r="C17" i="6"/>
  <c r="C18" i="6" s="1"/>
  <c r="R81" i="13"/>
  <c r="R82" i="13" s="1"/>
  <c r="R76" i="13"/>
  <c r="R77" i="13" s="1"/>
  <c r="R71" i="13"/>
  <c r="R72" i="13" s="1"/>
  <c r="R66" i="13"/>
  <c r="R67" i="13" s="1"/>
  <c r="R61" i="13"/>
  <c r="R62" i="13" s="1"/>
  <c r="R56" i="13"/>
  <c r="R57" i="13" s="1"/>
  <c r="R51" i="13"/>
  <c r="R52" i="13" s="1"/>
  <c r="R46" i="13"/>
  <c r="R47" i="13" s="1"/>
  <c r="R41" i="13"/>
  <c r="R42" i="13" s="1"/>
  <c r="R36" i="13"/>
  <c r="R37" i="13" s="1"/>
  <c r="R31" i="13"/>
  <c r="R32" i="13" s="1"/>
  <c r="R26" i="13"/>
  <c r="R27" i="13" s="1"/>
  <c r="R21" i="13"/>
  <c r="R22" i="13" s="1"/>
  <c r="R16" i="13"/>
  <c r="R17" i="13" s="1"/>
  <c r="R11" i="13"/>
  <c r="R12" i="13" s="1"/>
  <c r="N81" i="13"/>
  <c r="N82" i="13" s="1"/>
  <c r="N76" i="13"/>
  <c r="N77" i="13" s="1"/>
  <c r="N71" i="13"/>
  <c r="N72" i="13" s="1"/>
  <c r="N66" i="13"/>
  <c r="N67" i="13" s="1"/>
  <c r="N61" i="13"/>
  <c r="N62" i="13" s="1"/>
  <c r="N56" i="13"/>
  <c r="N57" i="13" s="1"/>
  <c r="N51" i="13"/>
  <c r="N52" i="13" s="1"/>
  <c r="N46" i="13"/>
  <c r="N47" i="13" s="1"/>
  <c r="N41" i="13"/>
  <c r="N42" i="13" s="1"/>
  <c r="N36" i="13"/>
  <c r="N37" i="13" s="1"/>
  <c r="N31" i="13"/>
  <c r="N32" i="13" s="1"/>
  <c r="N26" i="13"/>
  <c r="N27" i="13" s="1"/>
  <c r="N21" i="13"/>
  <c r="N22" i="13" s="1"/>
  <c r="N16" i="13"/>
  <c r="N17" i="13" s="1"/>
  <c r="N11" i="13"/>
  <c r="N12" i="13" s="1"/>
  <c r="Q81" i="13"/>
  <c r="Q82" i="13" s="1"/>
  <c r="Q76" i="13"/>
  <c r="Q77" i="13" s="1"/>
  <c r="Q71" i="13"/>
  <c r="Q72" i="13" s="1"/>
  <c r="Q66" i="13"/>
  <c r="Q67" i="13" s="1"/>
  <c r="Q61" i="13"/>
  <c r="Q62" i="13" s="1"/>
  <c r="Q56" i="13"/>
  <c r="Q57" i="13" s="1"/>
  <c r="Q51" i="13"/>
  <c r="Q52" i="13" s="1"/>
  <c r="Q46" i="13"/>
  <c r="Q47" i="13" s="1"/>
  <c r="Q41" i="13"/>
  <c r="Q42" i="13" s="1"/>
  <c r="Q36" i="13"/>
  <c r="Q37" i="13" s="1"/>
  <c r="Q31" i="13"/>
  <c r="Q32" i="13" s="1"/>
  <c r="Q26" i="13"/>
  <c r="Q27" i="13" s="1"/>
  <c r="Q21" i="13"/>
  <c r="Q22" i="13" s="1"/>
  <c r="Q16" i="13"/>
  <c r="Q17" i="13" s="1"/>
  <c r="Q11" i="13"/>
  <c r="Q12" i="13" s="1"/>
  <c r="E81" i="13"/>
  <c r="E82" i="13" s="1"/>
  <c r="E76" i="13"/>
  <c r="E77" i="13" s="1"/>
  <c r="E71" i="13"/>
  <c r="E72" i="13" s="1"/>
  <c r="E66" i="13"/>
  <c r="E67" i="13" s="1"/>
  <c r="E61" i="13"/>
  <c r="E62" i="13" s="1"/>
  <c r="E56" i="13"/>
  <c r="E57" i="13" s="1"/>
  <c r="E51" i="13"/>
  <c r="E52" i="13" s="1"/>
  <c r="E46" i="13"/>
  <c r="E47" i="13" s="1"/>
  <c r="E41" i="13"/>
  <c r="E42" i="13" s="1"/>
  <c r="E36" i="13"/>
  <c r="E37" i="13" s="1"/>
  <c r="E31" i="13"/>
  <c r="E32" i="13" s="1"/>
  <c r="E26" i="13"/>
  <c r="E27" i="13" s="1"/>
  <c r="E21" i="13"/>
  <c r="E22" i="13" s="1"/>
  <c r="E16" i="13"/>
  <c r="E17" i="13" s="1"/>
  <c r="E11" i="13"/>
  <c r="E12" i="13" s="1"/>
  <c r="P81" i="13"/>
  <c r="P82" i="13" s="1"/>
  <c r="P76" i="13"/>
  <c r="P77" i="13" s="1"/>
  <c r="P71" i="13"/>
  <c r="P72" i="13" s="1"/>
  <c r="P66" i="13"/>
  <c r="P67" i="13" s="1"/>
  <c r="P61" i="13"/>
  <c r="P62" i="13" s="1"/>
  <c r="P56" i="13"/>
  <c r="P57" i="13" s="1"/>
  <c r="P51" i="13"/>
  <c r="P52" i="13" s="1"/>
  <c r="P46" i="13"/>
  <c r="P47" i="13" s="1"/>
  <c r="P41" i="13"/>
  <c r="P42" i="13" s="1"/>
  <c r="P36" i="13"/>
  <c r="P37" i="13" s="1"/>
  <c r="P31" i="13"/>
  <c r="P32" i="13" s="1"/>
  <c r="P26" i="13"/>
  <c r="P27" i="13" s="1"/>
  <c r="P21" i="13"/>
  <c r="P22" i="13" s="1"/>
  <c r="P16" i="13"/>
  <c r="P17" i="13" s="1"/>
  <c r="P11" i="13"/>
  <c r="P12" i="13" s="1"/>
  <c r="J81" i="13"/>
  <c r="J82" i="13" s="1"/>
  <c r="J76" i="13"/>
  <c r="J77" i="13" s="1"/>
  <c r="J71" i="13"/>
  <c r="J72" i="13" s="1"/>
  <c r="J66" i="13"/>
  <c r="J67" i="13" s="1"/>
  <c r="J61" i="13"/>
  <c r="J62" i="13" s="1"/>
  <c r="J56" i="13"/>
  <c r="J57" i="13" s="1"/>
  <c r="J51" i="13"/>
  <c r="J52" i="13" s="1"/>
  <c r="J46" i="13"/>
  <c r="J47" i="13" s="1"/>
  <c r="J41" i="13"/>
  <c r="J42" i="13" s="1"/>
  <c r="J36" i="13"/>
  <c r="J37" i="13" s="1"/>
  <c r="J31" i="13"/>
  <c r="J32" i="13" s="1"/>
  <c r="J26" i="13"/>
  <c r="J27" i="13" s="1"/>
  <c r="J21" i="13"/>
  <c r="J22" i="13" s="1"/>
  <c r="J16" i="13"/>
  <c r="J17" i="13" s="1"/>
  <c r="J11" i="13"/>
  <c r="J12" i="13" s="1"/>
  <c r="C81" i="13"/>
  <c r="C82" i="13" s="1"/>
  <c r="C76" i="13"/>
  <c r="C77" i="13" s="1"/>
  <c r="C71" i="13"/>
  <c r="C72" i="13" s="1"/>
  <c r="C66" i="13"/>
  <c r="C67" i="13" s="1"/>
  <c r="C61" i="13"/>
  <c r="C62" i="13" s="1"/>
  <c r="C56" i="13"/>
  <c r="C57" i="13" s="1"/>
  <c r="C51" i="13"/>
  <c r="C52" i="13" s="1"/>
  <c r="C46" i="13"/>
  <c r="C47" i="13" s="1"/>
  <c r="C41" i="13"/>
  <c r="C42" i="13" s="1"/>
  <c r="C36" i="13"/>
  <c r="C37" i="13" s="1"/>
  <c r="C31" i="13"/>
  <c r="C32" i="13" s="1"/>
  <c r="C26" i="13"/>
  <c r="C27" i="13" s="1"/>
  <c r="C21" i="13"/>
  <c r="C22" i="13" s="1"/>
  <c r="C16" i="13"/>
  <c r="C17" i="13" s="1"/>
  <c r="C11" i="13"/>
  <c r="C12" i="13" s="1"/>
  <c r="O81" i="13"/>
  <c r="O82" i="13" s="1"/>
  <c r="O76" i="13"/>
  <c r="O77" i="13" s="1"/>
  <c r="O71" i="13"/>
  <c r="O72" i="13" s="1"/>
  <c r="O66" i="13"/>
  <c r="O67" i="13" s="1"/>
  <c r="O61" i="13"/>
  <c r="O62" i="13" s="1"/>
  <c r="O56" i="13"/>
  <c r="O57" i="13" s="1"/>
  <c r="O51" i="13"/>
  <c r="O52" i="13" s="1"/>
  <c r="O46" i="13"/>
  <c r="O47" i="13" s="1"/>
  <c r="O41" i="13"/>
  <c r="O42" i="13" s="1"/>
  <c r="O36" i="13"/>
  <c r="O37" i="13" s="1"/>
  <c r="O31" i="13"/>
  <c r="O32" i="13" s="1"/>
  <c r="O26" i="13"/>
  <c r="O27" i="13" s="1"/>
  <c r="O21" i="13"/>
  <c r="O22" i="13" s="1"/>
  <c r="O16" i="13"/>
  <c r="O17" i="13" s="1"/>
  <c r="O11" i="13"/>
  <c r="O12" i="13" s="1"/>
  <c r="L81" i="13"/>
  <c r="L82" i="13" s="1"/>
  <c r="L76" i="13"/>
  <c r="L77" i="13" s="1"/>
  <c r="L71" i="13"/>
  <c r="L72" i="13" s="1"/>
  <c r="L66" i="13"/>
  <c r="L67" i="13" s="1"/>
  <c r="L61" i="13"/>
  <c r="L62" i="13" s="1"/>
  <c r="L56" i="13"/>
  <c r="L57" i="13" s="1"/>
  <c r="L51" i="13"/>
  <c r="L52" i="13" s="1"/>
  <c r="L46" i="13"/>
  <c r="L47" i="13" s="1"/>
  <c r="L41" i="13"/>
  <c r="L42" i="13" s="1"/>
  <c r="L36" i="13"/>
  <c r="L37" i="13" s="1"/>
  <c r="L31" i="13"/>
  <c r="L32" i="13" s="1"/>
  <c r="L26" i="13"/>
  <c r="L27" i="13" s="1"/>
  <c r="L21" i="13"/>
  <c r="L22" i="13" s="1"/>
  <c r="L16" i="13"/>
  <c r="L17" i="13" s="1"/>
  <c r="L11" i="13"/>
  <c r="L12" i="13" s="1"/>
  <c r="S81" i="13"/>
  <c r="S82" i="13" s="1"/>
  <c r="S76" i="13"/>
  <c r="S77" i="13" s="1"/>
  <c r="S71" i="13"/>
  <c r="S72" i="13" s="1"/>
  <c r="S66" i="13"/>
  <c r="S67" i="13" s="1"/>
  <c r="S61" i="13"/>
  <c r="S62" i="13" s="1"/>
  <c r="S56" i="13"/>
  <c r="S57" i="13" s="1"/>
  <c r="S51" i="13"/>
  <c r="S52" i="13" s="1"/>
  <c r="S46" i="13"/>
  <c r="S47" i="13" s="1"/>
  <c r="S41" i="13"/>
  <c r="S42" i="13" s="1"/>
  <c r="S36" i="13"/>
  <c r="S37" i="13" s="1"/>
  <c r="S31" i="13"/>
  <c r="S32" i="13" s="1"/>
  <c r="S26" i="13"/>
  <c r="S27" i="13" s="1"/>
  <c r="S21" i="13"/>
  <c r="S22" i="13" s="1"/>
  <c r="S16" i="13"/>
  <c r="S17" i="13" s="1"/>
  <c r="S11" i="13"/>
  <c r="S12" i="13" s="1"/>
  <c r="S82" i="6" l="1"/>
  <c r="S83" i="6" s="1"/>
  <c r="S77" i="6"/>
  <c r="S78" i="6" s="1"/>
  <c r="S72" i="6"/>
  <c r="S73" i="6" s="1"/>
  <c r="S67" i="6"/>
  <c r="S68" i="6" s="1"/>
  <c r="S62" i="6"/>
  <c r="S63" i="6" s="1"/>
  <c r="S57" i="6"/>
  <c r="S58" i="6" s="1"/>
  <c r="S52" i="6"/>
  <c r="S53" i="6" s="1"/>
  <c r="S47" i="6"/>
  <c r="S48" i="6" s="1"/>
  <c r="S42" i="6"/>
  <c r="S43" i="6" s="1"/>
  <c r="S37" i="6"/>
  <c r="S38" i="6" s="1"/>
  <c r="S32" i="6"/>
  <c r="S33" i="6" s="1"/>
  <c r="S27" i="6"/>
  <c r="S28" i="6" s="1"/>
  <c r="S22" i="6"/>
  <c r="S23" i="6" s="1"/>
  <c r="S17" i="6"/>
  <c r="S18" i="6" s="1"/>
  <c r="S12" i="6"/>
  <c r="S13" i="6" s="1"/>
  <c r="R82" i="6"/>
  <c r="R83" i="6" s="1"/>
  <c r="R77" i="6"/>
  <c r="R78" i="6" s="1"/>
  <c r="R72" i="6"/>
  <c r="R73" i="6" s="1"/>
  <c r="R67" i="6"/>
  <c r="R68" i="6" s="1"/>
  <c r="R62" i="6"/>
  <c r="R63" i="6" s="1"/>
  <c r="R57" i="6"/>
  <c r="R58" i="6" s="1"/>
  <c r="R52" i="6"/>
  <c r="R53" i="6" s="1"/>
  <c r="R47" i="6"/>
  <c r="R48" i="6" s="1"/>
  <c r="R42" i="6"/>
  <c r="R43" i="6" s="1"/>
  <c r="R37" i="6"/>
  <c r="R38" i="6" s="1"/>
  <c r="R32" i="6"/>
  <c r="R33" i="6" s="1"/>
  <c r="R27" i="6"/>
  <c r="R28" i="6" s="1"/>
  <c r="R22" i="6"/>
  <c r="R23" i="6" s="1"/>
  <c r="R17" i="6"/>
  <c r="R18" i="6" s="1"/>
  <c r="R12" i="6"/>
  <c r="R13" i="6" s="1"/>
  <c r="Q82" i="6"/>
  <c r="Q83" i="6" s="1"/>
  <c r="Q77" i="6"/>
  <c r="Q78" i="6" s="1"/>
  <c r="Q72" i="6"/>
  <c r="Q73" i="6" s="1"/>
  <c r="Q67" i="6"/>
  <c r="Q68" i="6" s="1"/>
  <c r="Q62" i="6"/>
  <c r="Q63" i="6" s="1"/>
  <c r="Q57" i="6"/>
  <c r="Q58" i="6" s="1"/>
  <c r="Q52" i="6"/>
  <c r="Q53" i="6" s="1"/>
  <c r="Q47" i="6"/>
  <c r="Q48" i="6" s="1"/>
  <c r="Q42" i="6"/>
  <c r="Q43" i="6" s="1"/>
  <c r="Q37" i="6"/>
  <c r="Q38" i="6" s="1"/>
  <c r="Q32" i="6"/>
  <c r="Q33" i="6" s="1"/>
  <c r="Q27" i="6"/>
  <c r="Q28" i="6" s="1"/>
  <c r="Q22" i="6"/>
  <c r="Q23" i="6" s="1"/>
  <c r="Q17" i="6"/>
  <c r="Q18" i="6" s="1"/>
  <c r="Q12" i="6"/>
  <c r="Q13" i="6" s="1"/>
  <c r="F82" i="6"/>
  <c r="F83" i="6" s="1"/>
  <c r="F77" i="6"/>
  <c r="F78" i="6" s="1"/>
  <c r="F72" i="6"/>
  <c r="F73" i="6" s="1"/>
  <c r="F67" i="6"/>
  <c r="F68" i="6" s="1"/>
  <c r="F62" i="6"/>
  <c r="F63" i="6" s="1"/>
  <c r="F57" i="6"/>
  <c r="F58" i="6" s="1"/>
  <c r="F52" i="6"/>
  <c r="F53" i="6" s="1"/>
  <c r="F47" i="6"/>
  <c r="F48" i="6" s="1"/>
  <c r="F42" i="6"/>
  <c r="F43" i="6" s="1"/>
  <c r="F37" i="6"/>
  <c r="F38" i="6" s="1"/>
  <c r="F32" i="6"/>
  <c r="F33" i="6" s="1"/>
  <c r="F27" i="6"/>
  <c r="F28" i="6" s="1"/>
  <c r="F22" i="6"/>
  <c r="F23" i="6" s="1"/>
  <c r="F17" i="6"/>
  <c r="F18" i="6" s="1"/>
  <c r="F12" i="6"/>
  <c r="F13" i="6" s="1"/>
  <c r="O82" i="6"/>
  <c r="O83" i="6" s="1"/>
  <c r="O77" i="6"/>
  <c r="O78" i="6" s="1"/>
  <c r="O72" i="6"/>
  <c r="O73" i="6" s="1"/>
  <c r="O67" i="6"/>
  <c r="O68" i="6" s="1"/>
  <c r="O62" i="6"/>
  <c r="O63" i="6" s="1"/>
  <c r="O57" i="6"/>
  <c r="O58" i="6" s="1"/>
  <c r="O52" i="6"/>
  <c r="O53" i="6" s="1"/>
  <c r="O47" i="6"/>
  <c r="O48" i="6" s="1"/>
  <c r="O42" i="6"/>
  <c r="O43" i="6" s="1"/>
  <c r="O37" i="6"/>
  <c r="O38" i="6" s="1"/>
  <c r="O32" i="6"/>
  <c r="O33" i="6" s="1"/>
  <c r="O27" i="6"/>
  <c r="O28" i="6" s="1"/>
  <c r="O22" i="6"/>
  <c r="O23" i="6" s="1"/>
  <c r="O17" i="6"/>
  <c r="O18" i="6" s="1"/>
  <c r="O12" i="6"/>
  <c r="O13" i="6" s="1"/>
  <c r="M82" i="6"/>
  <c r="M83" i="6" s="1"/>
  <c r="M77" i="6"/>
  <c r="M78" i="6" s="1"/>
  <c r="M72" i="6"/>
  <c r="M73" i="6" s="1"/>
  <c r="M67" i="6"/>
  <c r="M68" i="6" s="1"/>
  <c r="M62" i="6"/>
  <c r="M63" i="6" s="1"/>
  <c r="M57" i="6"/>
  <c r="M58" i="6" s="1"/>
  <c r="M52" i="6"/>
  <c r="M53" i="6" s="1"/>
  <c r="M47" i="6"/>
  <c r="M48" i="6" s="1"/>
  <c r="M42" i="6"/>
  <c r="M43" i="6" s="1"/>
  <c r="M37" i="6"/>
  <c r="M38" i="6" s="1"/>
  <c r="M32" i="6"/>
  <c r="M33" i="6" s="1"/>
  <c r="M27" i="6"/>
  <c r="M28" i="6" s="1"/>
  <c r="M22" i="6"/>
  <c r="M23" i="6" s="1"/>
  <c r="M17" i="6"/>
  <c r="M18" i="6" s="1"/>
  <c r="M12" i="6"/>
  <c r="M13" i="6" s="1"/>
  <c r="D82" i="6"/>
  <c r="D83" i="6" s="1"/>
  <c r="D77" i="6"/>
  <c r="D78" i="6" s="1"/>
  <c r="D72" i="6"/>
  <c r="D73" i="6" s="1"/>
  <c r="D67" i="6"/>
  <c r="D68" i="6" s="1"/>
  <c r="D62" i="6"/>
  <c r="D63" i="6" s="1"/>
  <c r="D57" i="6"/>
  <c r="D58" i="6" s="1"/>
  <c r="D52" i="6"/>
  <c r="D53" i="6" s="1"/>
  <c r="D47" i="6"/>
  <c r="D48" i="6" s="1"/>
  <c r="D42" i="6"/>
  <c r="D43" i="6" s="1"/>
  <c r="D37" i="6"/>
  <c r="D38" i="6" s="1"/>
  <c r="D32" i="6"/>
  <c r="D33" i="6" s="1"/>
  <c r="D27" i="6"/>
  <c r="D28" i="6" s="1"/>
  <c r="D22" i="6"/>
  <c r="D23" i="6" s="1"/>
  <c r="D17" i="6"/>
  <c r="D18" i="6" s="1"/>
  <c r="P62" i="6" l="1"/>
  <c r="P63" i="6" s="1"/>
  <c r="L37" i="6"/>
  <c r="L38" i="6" s="1"/>
  <c r="P82" i="6"/>
  <c r="P83" i="6" s="1"/>
  <c r="L82" i="6"/>
  <c r="L83" i="6" s="1"/>
  <c r="J82" i="6"/>
  <c r="J83" i="6" s="1"/>
  <c r="B82" i="6"/>
  <c r="B83" i="6" s="1"/>
  <c r="F77" i="5"/>
  <c r="F78" i="5"/>
  <c r="C77" i="5"/>
  <c r="C78" i="5"/>
  <c r="B77" i="5"/>
  <c r="B78" i="5"/>
  <c r="G78" i="2"/>
  <c r="G79" i="2"/>
  <c r="G73" i="2"/>
  <c r="G74" i="2"/>
  <c r="F78" i="2"/>
  <c r="F79" i="2"/>
  <c r="F73" i="2"/>
  <c r="F74" i="2"/>
  <c r="F68" i="2"/>
  <c r="F69" i="2"/>
  <c r="D78" i="2"/>
  <c r="D79" i="2"/>
  <c r="C78" i="2"/>
  <c r="C79" i="2"/>
  <c r="B78" i="2"/>
  <c r="B79" i="2"/>
  <c r="C73" i="2"/>
  <c r="C74" i="2"/>
  <c r="B73" i="2"/>
  <c r="B74" i="2"/>
  <c r="F8" i="2"/>
  <c r="F9" i="2"/>
  <c r="E8" i="2"/>
  <c r="E9" i="2"/>
  <c r="D8" i="2"/>
  <c r="D9" i="2"/>
  <c r="C8" i="2"/>
  <c r="C9" i="2"/>
  <c r="B8" i="2"/>
  <c r="B9" i="2"/>
  <c r="G6" i="2"/>
  <c r="G8" i="2"/>
  <c r="G9" i="2"/>
  <c r="H77" i="12"/>
  <c r="H78" i="12"/>
  <c r="G77" i="12"/>
  <c r="G78" i="12"/>
  <c r="F77" i="12"/>
  <c r="F78" i="12"/>
  <c r="F72" i="12"/>
  <c r="F73" i="12"/>
  <c r="E77" i="12"/>
  <c r="E78" i="12"/>
  <c r="C77" i="12"/>
  <c r="C78" i="12"/>
  <c r="B77" i="12"/>
  <c r="B78" i="12"/>
  <c r="G7" i="12"/>
  <c r="G8" i="12"/>
  <c r="F7" i="12"/>
  <c r="F8" i="12"/>
  <c r="E7" i="12"/>
  <c r="E8" i="12"/>
  <c r="D7" i="12"/>
  <c r="D8" i="12"/>
  <c r="C7" i="12"/>
  <c r="C8" i="12"/>
  <c r="B7" i="12"/>
  <c r="B8" i="12"/>
  <c r="H5" i="12"/>
  <c r="H7" i="12"/>
  <c r="H8" i="12"/>
  <c r="G21" i="2"/>
  <c r="G23" i="2"/>
  <c r="G24" i="2"/>
  <c r="F30" i="5"/>
  <c r="F32" i="5"/>
  <c r="F33" i="5"/>
  <c r="F10" i="5"/>
  <c r="H30" i="12"/>
  <c r="H20" i="12"/>
  <c r="H10" i="12"/>
  <c r="H12" i="12"/>
  <c r="H13" i="12"/>
  <c r="G41" i="2"/>
  <c r="G26" i="2"/>
  <c r="G28" i="2"/>
  <c r="P12" i="6"/>
  <c r="P13" i="6" s="1"/>
  <c r="N12" i="6"/>
  <c r="N13" i="6" s="1"/>
  <c r="L12" i="6"/>
  <c r="L13" i="6" s="1"/>
  <c r="J12" i="6"/>
  <c r="J13" i="6" s="1"/>
  <c r="B12" i="6"/>
  <c r="B13" i="6" s="1"/>
  <c r="F5" i="5"/>
  <c r="F7" i="5"/>
  <c r="F8" i="5"/>
  <c r="E7" i="5"/>
  <c r="E8" i="5"/>
  <c r="D7" i="5"/>
  <c r="D8" i="5"/>
  <c r="C7" i="5"/>
  <c r="C8" i="5"/>
  <c r="B7" i="5"/>
  <c r="B8" i="5"/>
  <c r="G8" i="5"/>
  <c r="F50" i="5"/>
  <c r="G16" i="2"/>
  <c r="G18" i="2"/>
  <c r="G19" i="2"/>
  <c r="G43" i="2"/>
  <c r="G44" i="2"/>
  <c r="G36" i="2"/>
  <c r="G38" i="2"/>
  <c r="G39" i="2"/>
  <c r="G31" i="2"/>
  <c r="G11" i="2"/>
  <c r="G13" i="2"/>
  <c r="G14" i="2"/>
  <c r="I14" i="2"/>
  <c r="G68" i="2"/>
  <c r="G69" i="2"/>
  <c r="G63" i="2"/>
  <c r="G64" i="2"/>
  <c r="G58" i="2"/>
  <c r="G59" i="2"/>
  <c r="G53" i="2"/>
  <c r="G54" i="2"/>
  <c r="G48" i="2"/>
  <c r="G49" i="2"/>
  <c r="G33" i="2"/>
  <c r="G34" i="2"/>
  <c r="G29" i="2"/>
  <c r="F63" i="2"/>
  <c r="F64" i="2"/>
  <c r="F58" i="2"/>
  <c r="F59" i="2"/>
  <c r="F53" i="2"/>
  <c r="F54" i="2"/>
  <c r="F48" i="2"/>
  <c r="F49" i="2"/>
  <c r="F43" i="2"/>
  <c r="F44" i="2"/>
  <c r="F38" i="2"/>
  <c r="F39" i="2"/>
  <c r="F33" i="2"/>
  <c r="F34" i="2"/>
  <c r="F28" i="2"/>
  <c r="F29" i="2"/>
  <c r="F23" i="2"/>
  <c r="F24" i="2"/>
  <c r="F18" i="2"/>
  <c r="F19" i="2"/>
  <c r="F13" i="2"/>
  <c r="F14" i="2"/>
  <c r="E78" i="2"/>
  <c r="E79" i="2"/>
  <c r="E73" i="2"/>
  <c r="E74" i="2"/>
  <c r="E68" i="2"/>
  <c r="E69" i="2"/>
  <c r="E63" i="2"/>
  <c r="E64" i="2"/>
  <c r="I64" i="2"/>
  <c r="E58" i="2"/>
  <c r="E59" i="2"/>
  <c r="E53" i="2"/>
  <c r="E54" i="2"/>
  <c r="I54" i="2"/>
  <c r="E48" i="2"/>
  <c r="E49" i="2"/>
  <c r="E43" i="2"/>
  <c r="E44" i="2"/>
  <c r="E38" i="2"/>
  <c r="E39" i="2"/>
  <c r="E33" i="2"/>
  <c r="E34" i="2"/>
  <c r="I34" i="2"/>
  <c r="E28" i="2"/>
  <c r="E29" i="2"/>
  <c r="E23" i="2"/>
  <c r="E24" i="2"/>
  <c r="I24" i="2"/>
  <c r="E18" i="2"/>
  <c r="E19" i="2"/>
  <c r="E13" i="2"/>
  <c r="E14" i="2"/>
  <c r="D73" i="2"/>
  <c r="D74" i="2"/>
  <c r="D68" i="2"/>
  <c r="D69" i="2"/>
  <c r="D63" i="2"/>
  <c r="D64" i="2"/>
  <c r="D58" i="2"/>
  <c r="D59" i="2"/>
  <c r="H59" i="2"/>
  <c r="D53" i="2"/>
  <c r="D54" i="2"/>
  <c r="D48" i="2"/>
  <c r="D49" i="2"/>
  <c r="I49" i="2"/>
  <c r="D43" i="2"/>
  <c r="D44" i="2"/>
  <c r="D38" i="2"/>
  <c r="D39" i="2"/>
  <c r="H39" i="2"/>
  <c r="D33" i="2"/>
  <c r="D34" i="2"/>
  <c r="D28" i="2"/>
  <c r="D29" i="2"/>
  <c r="H29" i="2"/>
  <c r="D23" i="2"/>
  <c r="D24" i="2"/>
  <c r="D18" i="2"/>
  <c r="D19" i="2"/>
  <c r="I19" i="2"/>
  <c r="D13" i="2"/>
  <c r="D14" i="2"/>
  <c r="C68" i="2"/>
  <c r="C69" i="2"/>
  <c r="C63" i="2"/>
  <c r="C64" i="2"/>
  <c r="C58" i="2"/>
  <c r="C59" i="2"/>
  <c r="I59" i="2"/>
  <c r="C53" i="2"/>
  <c r="C54" i="2"/>
  <c r="C48" i="2"/>
  <c r="C49" i="2"/>
  <c r="C43" i="2"/>
  <c r="C44" i="2"/>
  <c r="C38" i="2"/>
  <c r="C39" i="2"/>
  <c r="C33" i="2"/>
  <c r="C34" i="2"/>
  <c r="C28" i="2"/>
  <c r="C29" i="2"/>
  <c r="C23" i="2"/>
  <c r="C24" i="2"/>
  <c r="C18" i="2"/>
  <c r="C19" i="2"/>
  <c r="C13" i="2"/>
  <c r="C14" i="2"/>
  <c r="B68" i="2"/>
  <c r="B69" i="2"/>
  <c r="B63" i="2"/>
  <c r="B64" i="2"/>
  <c r="B58" i="2"/>
  <c r="B59" i="2"/>
  <c r="B53" i="2"/>
  <c r="B54" i="2"/>
  <c r="H54" i="2"/>
  <c r="B48" i="2"/>
  <c r="B49" i="2"/>
  <c r="B43" i="2"/>
  <c r="B44" i="2"/>
  <c r="H44" i="2"/>
  <c r="B38" i="2"/>
  <c r="B39" i="2"/>
  <c r="B33" i="2"/>
  <c r="B34" i="2"/>
  <c r="H34" i="2"/>
  <c r="B28" i="2"/>
  <c r="B29" i="2"/>
  <c r="B23" i="2"/>
  <c r="B24" i="2"/>
  <c r="B18" i="2"/>
  <c r="B19" i="2"/>
  <c r="H19" i="2"/>
  <c r="B13" i="2"/>
  <c r="B14" i="2"/>
  <c r="F55" i="5"/>
  <c r="F57" i="5"/>
  <c r="F58" i="5"/>
  <c r="F52" i="5"/>
  <c r="F53" i="5"/>
  <c r="F45" i="5"/>
  <c r="F47" i="5"/>
  <c r="F48" i="5"/>
  <c r="F40" i="5"/>
  <c r="F42" i="5"/>
  <c r="F43" i="5"/>
  <c r="F35" i="5"/>
  <c r="F37" i="5"/>
  <c r="F38" i="5"/>
  <c r="F25" i="5"/>
  <c r="F27" i="5"/>
  <c r="F28" i="5"/>
  <c r="F20" i="5"/>
  <c r="F22" i="5"/>
  <c r="F23" i="5"/>
  <c r="F12" i="5"/>
  <c r="F13" i="5"/>
  <c r="F15" i="5"/>
  <c r="F17" i="5"/>
  <c r="F18" i="5"/>
  <c r="F72" i="5"/>
  <c r="F73" i="5"/>
  <c r="F67" i="5"/>
  <c r="F68" i="5"/>
  <c r="F62" i="5"/>
  <c r="F63" i="5"/>
  <c r="E77" i="5"/>
  <c r="E78" i="5"/>
  <c r="E72" i="5"/>
  <c r="E73" i="5"/>
  <c r="E67" i="5"/>
  <c r="E68" i="5"/>
  <c r="E62" i="5"/>
  <c r="E63" i="5"/>
  <c r="E57" i="5"/>
  <c r="E58" i="5"/>
  <c r="E52" i="5"/>
  <c r="E53" i="5"/>
  <c r="E47" i="5"/>
  <c r="E48" i="5"/>
  <c r="E42" i="5"/>
  <c r="E43" i="5"/>
  <c r="E37" i="5"/>
  <c r="E38" i="5"/>
  <c r="E32" i="5"/>
  <c r="E33" i="5"/>
  <c r="E27" i="5"/>
  <c r="E28" i="5"/>
  <c r="E22" i="5"/>
  <c r="E23" i="5"/>
  <c r="E17" i="5"/>
  <c r="E18" i="5"/>
  <c r="E12" i="5"/>
  <c r="E13" i="5"/>
  <c r="C72" i="5"/>
  <c r="C73" i="5"/>
  <c r="C67" i="5"/>
  <c r="C68" i="5"/>
  <c r="C62" i="5"/>
  <c r="C63" i="5"/>
  <c r="G63" i="5"/>
  <c r="C57" i="5"/>
  <c r="C58" i="5"/>
  <c r="C52" i="5"/>
  <c r="C53" i="5"/>
  <c r="G53" i="5"/>
  <c r="C47" i="5"/>
  <c r="C48" i="5"/>
  <c r="C42" i="5"/>
  <c r="C43" i="5"/>
  <c r="C37" i="5"/>
  <c r="C38" i="5"/>
  <c r="C32" i="5"/>
  <c r="C33" i="5"/>
  <c r="C27" i="5"/>
  <c r="C28" i="5"/>
  <c r="C22" i="5"/>
  <c r="C23" i="5"/>
  <c r="G23" i="5"/>
  <c r="C17" i="5"/>
  <c r="C18" i="5"/>
  <c r="C12" i="5"/>
  <c r="C13" i="5"/>
  <c r="B72" i="5"/>
  <c r="B73" i="5"/>
  <c r="B67" i="5"/>
  <c r="B68" i="5"/>
  <c r="B62" i="5"/>
  <c r="B63" i="5"/>
  <c r="B57" i="5"/>
  <c r="B58" i="5"/>
  <c r="B52" i="5"/>
  <c r="B53" i="5"/>
  <c r="B47" i="5"/>
  <c r="B48" i="5"/>
  <c r="B42" i="5"/>
  <c r="B43" i="5"/>
  <c r="B37" i="5"/>
  <c r="B38" i="5"/>
  <c r="B32" i="5"/>
  <c r="B33" i="5"/>
  <c r="B27" i="5"/>
  <c r="B28" i="5"/>
  <c r="B22" i="5"/>
  <c r="B23" i="5"/>
  <c r="B17" i="5"/>
  <c r="B18" i="5"/>
  <c r="G18" i="5"/>
  <c r="B12" i="5"/>
  <c r="B13" i="5"/>
  <c r="B42" i="6"/>
  <c r="B43" i="6" s="1"/>
  <c r="L77" i="6"/>
  <c r="L78" i="6" s="1"/>
  <c r="L72" i="6"/>
  <c r="L73" i="6" s="1"/>
  <c r="L67" i="6"/>
  <c r="L68" i="6" s="1"/>
  <c r="L62" i="6"/>
  <c r="L63" i="6" s="1"/>
  <c r="L57" i="6"/>
  <c r="L58" i="6" s="1"/>
  <c r="L52" i="6"/>
  <c r="L53" i="6" s="1"/>
  <c r="L47" i="6"/>
  <c r="L48" i="6" s="1"/>
  <c r="L42" i="6"/>
  <c r="L43" i="6" s="1"/>
  <c r="L32" i="6"/>
  <c r="L33" i="6" s="1"/>
  <c r="L27" i="6"/>
  <c r="L28" i="6" s="1"/>
  <c r="L22" i="6"/>
  <c r="L23" i="6" s="1"/>
  <c r="L17" i="6"/>
  <c r="L18" i="6" s="1"/>
  <c r="J77" i="6"/>
  <c r="J78" i="6" s="1"/>
  <c r="J72" i="6"/>
  <c r="J73" i="6" s="1"/>
  <c r="J67" i="6"/>
  <c r="J68" i="6" s="1"/>
  <c r="J62" i="6"/>
  <c r="J63" i="6" s="1"/>
  <c r="J57" i="6"/>
  <c r="J58" i="6" s="1"/>
  <c r="J52" i="6"/>
  <c r="J53" i="6" s="1"/>
  <c r="J47" i="6"/>
  <c r="J48" i="6" s="1"/>
  <c r="J42" i="6"/>
  <c r="J43" i="6" s="1"/>
  <c r="J37" i="6"/>
  <c r="J38" i="6" s="1"/>
  <c r="J32" i="6"/>
  <c r="J33" i="6" s="1"/>
  <c r="J27" i="6"/>
  <c r="J28" i="6" s="1"/>
  <c r="J22" i="6"/>
  <c r="J23" i="6" s="1"/>
  <c r="J17" i="6"/>
  <c r="J18" i="6" s="1"/>
  <c r="H72" i="12"/>
  <c r="H73" i="12"/>
  <c r="H67" i="12"/>
  <c r="H68" i="12"/>
  <c r="H62" i="12"/>
  <c r="H63" i="12"/>
  <c r="H57" i="12"/>
  <c r="H58" i="12"/>
  <c r="H52" i="12"/>
  <c r="H53" i="12"/>
  <c r="H47" i="12"/>
  <c r="H48" i="12"/>
  <c r="H42" i="12"/>
  <c r="H43" i="12"/>
  <c r="H37" i="12"/>
  <c r="H38" i="12"/>
  <c r="H32" i="12"/>
  <c r="H33" i="12"/>
  <c r="H27" i="12"/>
  <c r="H28" i="12"/>
  <c r="H22" i="12"/>
  <c r="H23" i="12"/>
  <c r="H17" i="12"/>
  <c r="H18" i="12"/>
  <c r="F67" i="12"/>
  <c r="F68" i="12"/>
  <c r="F62" i="12"/>
  <c r="F63" i="12"/>
  <c r="F57" i="12"/>
  <c r="F58" i="12"/>
  <c r="F52" i="12"/>
  <c r="F53" i="12"/>
  <c r="F47" i="12"/>
  <c r="F48" i="12"/>
  <c r="F42" i="12"/>
  <c r="F43" i="12"/>
  <c r="F37" i="12"/>
  <c r="F38" i="12"/>
  <c r="F32" i="12"/>
  <c r="F33" i="12"/>
  <c r="F27" i="12"/>
  <c r="F28" i="12"/>
  <c r="F22" i="12"/>
  <c r="F23" i="12"/>
  <c r="F17" i="12"/>
  <c r="F18" i="12"/>
  <c r="F12" i="12"/>
  <c r="F13" i="12"/>
  <c r="E72" i="12"/>
  <c r="E73" i="12"/>
  <c r="E67" i="12"/>
  <c r="E68" i="12"/>
  <c r="E62" i="12"/>
  <c r="E63" i="12"/>
  <c r="E57" i="12"/>
  <c r="E58" i="12"/>
  <c r="E52" i="12"/>
  <c r="E53" i="12"/>
  <c r="E47" i="12"/>
  <c r="E48" i="12"/>
  <c r="E42" i="12"/>
  <c r="E43" i="12"/>
  <c r="E37" i="12"/>
  <c r="E38" i="12"/>
  <c r="E32" i="12"/>
  <c r="E33" i="12"/>
  <c r="E27" i="12"/>
  <c r="E28" i="12"/>
  <c r="E22" i="12"/>
  <c r="E23" i="12"/>
  <c r="E17" i="12"/>
  <c r="E18" i="12"/>
  <c r="E12" i="12"/>
  <c r="E13" i="12"/>
  <c r="D77" i="12"/>
  <c r="D78" i="12"/>
  <c r="I78" i="12"/>
  <c r="B72" i="12"/>
  <c r="B73" i="12"/>
  <c r="B67" i="12"/>
  <c r="B68" i="12"/>
  <c r="I68" i="12"/>
  <c r="C67" i="12"/>
  <c r="C68" i="12"/>
  <c r="D67" i="12"/>
  <c r="D68" i="12"/>
  <c r="G67" i="12"/>
  <c r="G68" i="12"/>
  <c r="B62" i="12"/>
  <c r="B63" i="12"/>
  <c r="C62" i="12"/>
  <c r="C63" i="12"/>
  <c r="D62" i="12"/>
  <c r="D63" i="12"/>
  <c r="G62" i="12"/>
  <c r="G63" i="12"/>
  <c r="B57" i="12"/>
  <c r="B58" i="12"/>
  <c r="I58" i="12"/>
  <c r="C57" i="12"/>
  <c r="C58" i="12"/>
  <c r="D57" i="12"/>
  <c r="D58" i="12"/>
  <c r="G57" i="12"/>
  <c r="G58" i="12"/>
  <c r="B52" i="12"/>
  <c r="B53" i="12"/>
  <c r="C52" i="12"/>
  <c r="C53" i="12"/>
  <c r="D52" i="12"/>
  <c r="D53" i="12"/>
  <c r="G52" i="12"/>
  <c r="G53" i="12"/>
  <c r="B47" i="12"/>
  <c r="B48" i="12"/>
  <c r="C47" i="12"/>
  <c r="C48" i="12"/>
  <c r="I48" i="12"/>
  <c r="D47" i="12"/>
  <c r="D48" i="12"/>
  <c r="G47" i="12"/>
  <c r="G48" i="12"/>
  <c r="B42" i="12"/>
  <c r="B43" i="12"/>
  <c r="C42" i="12"/>
  <c r="C43" i="12"/>
  <c r="I43" i="12"/>
  <c r="D42" i="12"/>
  <c r="D43" i="12"/>
  <c r="G42" i="12"/>
  <c r="G43" i="12"/>
  <c r="B37" i="12"/>
  <c r="B38" i="12"/>
  <c r="C37" i="12"/>
  <c r="C38" i="12"/>
  <c r="D37" i="12"/>
  <c r="D38" i="12"/>
  <c r="G37" i="12"/>
  <c r="G38" i="12"/>
  <c r="B32" i="12"/>
  <c r="B33" i="12"/>
  <c r="C32" i="12"/>
  <c r="C33" i="12"/>
  <c r="D32" i="12"/>
  <c r="D33" i="12"/>
  <c r="G32" i="12"/>
  <c r="G33" i="12"/>
  <c r="B27" i="12"/>
  <c r="B28" i="12"/>
  <c r="C27" i="12"/>
  <c r="C28" i="12"/>
  <c r="D27" i="12"/>
  <c r="D28" i="12"/>
  <c r="G27" i="12"/>
  <c r="G28" i="12"/>
  <c r="B22" i="12"/>
  <c r="B23" i="12"/>
  <c r="C22" i="12"/>
  <c r="C23" i="12"/>
  <c r="I23" i="12"/>
  <c r="D22" i="12"/>
  <c r="D23" i="12"/>
  <c r="G22" i="12"/>
  <c r="G23" i="12"/>
  <c r="B17" i="12"/>
  <c r="B18" i="12"/>
  <c r="I18" i="12"/>
  <c r="C17" i="12"/>
  <c r="C18" i="12"/>
  <c r="D17" i="12"/>
  <c r="D18" i="12"/>
  <c r="G17" i="12"/>
  <c r="G18" i="12"/>
  <c r="B12" i="12"/>
  <c r="B13" i="12"/>
  <c r="C12" i="12"/>
  <c r="C13" i="12"/>
  <c r="D12" i="12"/>
  <c r="D13" i="12"/>
  <c r="G12" i="12"/>
  <c r="G13" i="12"/>
  <c r="G72" i="12"/>
  <c r="G73" i="12"/>
  <c r="C72" i="12"/>
  <c r="C73" i="12"/>
  <c r="D72" i="12"/>
  <c r="D73" i="12"/>
  <c r="N27" i="6"/>
  <c r="N28" i="6" s="1"/>
  <c r="N82" i="6"/>
  <c r="N83" i="6" s="1"/>
  <c r="B77" i="6"/>
  <c r="B78" i="6" s="1"/>
  <c r="N77" i="6"/>
  <c r="N78" i="6" s="1"/>
  <c r="P77" i="6"/>
  <c r="P78" i="6" s="1"/>
  <c r="B72" i="6"/>
  <c r="B73" i="6" s="1"/>
  <c r="N72" i="6"/>
  <c r="N73" i="6" s="1"/>
  <c r="P72" i="6"/>
  <c r="P73" i="6" s="1"/>
  <c r="B67" i="6"/>
  <c r="B68" i="6" s="1"/>
  <c r="N67" i="6"/>
  <c r="N68" i="6" s="1"/>
  <c r="P67" i="6"/>
  <c r="P68" i="6" s="1"/>
  <c r="B62" i="6"/>
  <c r="B63" i="6" s="1"/>
  <c r="N62" i="6"/>
  <c r="N63" i="6" s="1"/>
  <c r="B57" i="6"/>
  <c r="B58" i="6" s="1"/>
  <c r="N57" i="6"/>
  <c r="N58" i="6" s="1"/>
  <c r="P57" i="6"/>
  <c r="P58" i="6" s="1"/>
  <c r="B52" i="6"/>
  <c r="B53" i="6" s="1"/>
  <c r="N52" i="6"/>
  <c r="N53" i="6" s="1"/>
  <c r="P52" i="6"/>
  <c r="P53" i="6" s="1"/>
  <c r="B47" i="6"/>
  <c r="B48" i="6" s="1"/>
  <c r="N47" i="6"/>
  <c r="N48" i="6" s="1"/>
  <c r="P47" i="6"/>
  <c r="P48" i="6" s="1"/>
  <c r="N42" i="6"/>
  <c r="N43" i="6" s="1"/>
  <c r="P42" i="6"/>
  <c r="P43" i="6" s="1"/>
  <c r="B37" i="6"/>
  <c r="B38" i="6" s="1"/>
  <c r="N37" i="6"/>
  <c r="N38" i="6" s="1"/>
  <c r="P37" i="6"/>
  <c r="P38" i="6" s="1"/>
  <c r="B32" i="6"/>
  <c r="B33" i="6" s="1"/>
  <c r="N32" i="6"/>
  <c r="N33" i="6" s="1"/>
  <c r="P32" i="6"/>
  <c r="P33" i="6" s="1"/>
  <c r="B27" i="6"/>
  <c r="B28" i="6" s="1"/>
  <c r="P27" i="6"/>
  <c r="P28" i="6" s="1"/>
  <c r="B22" i="6"/>
  <c r="B23" i="6" s="1"/>
  <c r="N22" i="6"/>
  <c r="N23" i="6" s="1"/>
  <c r="P22" i="6"/>
  <c r="P23" i="6" s="1"/>
  <c r="B17" i="6"/>
  <c r="B18" i="6" s="1"/>
  <c r="N17" i="6"/>
  <c r="N18" i="6" s="1"/>
  <c r="P17" i="6"/>
  <c r="P18" i="6" s="1"/>
  <c r="D62" i="5"/>
  <c r="D63" i="5"/>
  <c r="D77" i="5"/>
  <c r="D78" i="5"/>
  <c r="D72" i="5"/>
  <c r="D73" i="5"/>
  <c r="D67" i="5"/>
  <c r="D68" i="5"/>
  <c r="G68" i="5"/>
  <c r="D57" i="5"/>
  <c r="D58" i="5"/>
  <c r="D52" i="5"/>
  <c r="D53" i="5"/>
  <c r="D47" i="5"/>
  <c r="D48" i="5"/>
  <c r="D42" i="5"/>
  <c r="D43" i="5"/>
  <c r="G43" i="5"/>
  <c r="D37" i="5"/>
  <c r="D38" i="5"/>
  <c r="D32" i="5"/>
  <c r="D33" i="5"/>
  <c r="D27" i="5"/>
  <c r="D28" i="5"/>
  <c r="G28" i="5"/>
  <c r="D22" i="5"/>
  <c r="D23" i="5"/>
  <c r="D17" i="5"/>
  <c r="D18" i="5"/>
  <c r="D12" i="5"/>
  <c r="D13" i="5"/>
  <c r="H64" i="2"/>
  <c r="G38" i="5"/>
  <c r="I44" i="2"/>
  <c r="I29" i="2"/>
  <c r="I33" i="12"/>
  <c r="G58" i="5"/>
  <c r="I9" i="2"/>
  <c r="I73" i="12"/>
  <c r="G48" i="5"/>
  <c r="H14" i="2"/>
  <c r="I38" i="12"/>
  <c r="G13" i="5"/>
  <c r="G33" i="5"/>
  <c r="G73" i="5"/>
  <c r="I28" i="12"/>
  <c r="I53" i="12"/>
  <c r="I63" i="12"/>
  <c r="I13" i="12"/>
  <c r="I39" i="2"/>
  <c r="I8" i="12"/>
  <c r="H24" i="2"/>
  <c r="H49" i="2"/>
  <c r="H9" i="2"/>
</calcChain>
</file>

<file path=xl/sharedStrings.xml><?xml version="1.0" encoding="utf-8"?>
<sst xmlns="http://schemas.openxmlformats.org/spreadsheetml/2006/main" count="387" uniqueCount="76">
  <si>
    <t xml:space="preserve"> </t>
  </si>
  <si>
    <t>Korkeus</t>
  </si>
  <si>
    <t>Kuula</t>
  </si>
  <si>
    <t>200m</t>
  </si>
  <si>
    <t>Pituus</t>
  </si>
  <si>
    <t>Keihäs</t>
  </si>
  <si>
    <t>800m</t>
  </si>
  <si>
    <t>Kansainvälinen</t>
  </si>
  <si>
    <t>Kotimainen</t>
  </si>
  <si>
    <t>100+</t>
  </si>
  <si>
    <t>kansainvälinen</t>
  </si>
  <si>
    <t>kotimainen</t>
  </si>
  <si>
    <t>Moukari</t>
  </si>
  <si>
    <t>Kiekko</t>
  </si>
  <si>
    <t>Paino</t>
  </si>
  <si>
    <t>Pika-aidat</t>
  </si>
  <si>
    <t>1500m</t>
  </si>
  <si>
    <t>100m</t>
  </si>
  <si>
    <t>400m</t>
  </si>
  <si>
    <t>Seiväs</t>
  </si>
  <si>
    <t>60m</t>
  </si>
  <si>
    <t>60mAJ</t>
  </si>
  <si>
    <t>1000m</t>
  </si>
  <si>
    <t>K.Poutiainen</t>
  </si>
  <si>
    <t>M.Pessa</t>
  </si>
  <si>
    <t>T.Kokkonen</t>
  </si>
  <si>
    <t>J.Multanen</t>
  </si>
  <si>
    <t>R. Korpelainen</t>
  </si>
  <si>
    <t>L.Kyrö</t>
  </si>
  <si>
    <t>P.Eriksson</t>
  </si>
  <si>
    <t>M.Leskelä</t>
  </si>
  <si>
    <t>M.Rautasalo</t>
  </si>
  <si>
    <t>T.Jokinen</t>
  </si>
  <si>
    <t>A.Kautto</t>
  </si>
  <si>
    <t>E.Hämäläinen</t>
  </si>
  <si>
    <t>E.Haapalainen</t>
  </si>
  <si>
    <t>K.Jatkola</t>
  </si>
  <si>
    <t>I.Sokero</t>
  </si>
  <si>
    <t>A.Savolainen</t>
  </si>
  <si>
    <t>O.Villanen</t>
  </si>
  <si>
    <t>J.Olli</t>
  </si>
  <si>
    <t>T.Rajamäki</t>
  </si>
  <si>
    <t>Kirsti Siekkinen</t>
  </si>
  <si>
    <t>J. Multanen</t>
  </si>
  <si>
    <t>Miesten Halli 7-ottelu WMA:n vuoden 2014 ikäkertoimilla</t>
  </si>
  <si>
    <t>Naisten 5-ottelu, vuoden 2014 ikäkertoimilla.</t>
  </si>
  <si>
    <t>Miesten 5-ottelu, vuoden 2014 ikäkertoimilla.</t>
  </si>
  <si>
    <t>T.Malinen</t>
  </si>
  <si>
    <t>5000m</t>
  </si>
  <si>
    <t>10 000m</t>
  </si>
  <si>
    <t>Kolmiloikka</t>
  </si>
  <si>
    <t>Pitkä aidat</t>
  </si>
  <si>
    <t>Estejuoksu</t>
  </si>
  <si>
    <t>3000m</t>
  </si>
  <si>
    <t>3000m kävely</t>
  </si>
  <si>
    <t>10km kävely</t>
  </si>
  <si>
    <t>Puolimaraton</t>
  </si>
  <si>
    <t>Maraton</t>
  </si>
  <si>
    <t>5000m kävely</t>
  </si>
  <si>
    <t>Tulos</t>
  </si>
  <si>
    <t>ikäkerroin</t>
  </si>
  <si>
    <t>WMA tulos</t>
  </si>
  <si>
    <t>Pisteet</t>
  </si>
  <si>
    <t>LAJIEN VÄLINEN VERTAILUTAULUKKO</t>
  </si>
  <si>
    <t>Laji</t>
  </si>
  <si>
    <t>a</t>
  </si>
  <si>
    <t>b</t>
  </si>
  <si>
    <t>c</t>
  </si>
  <si>
    <t>d</t>
  </si>
  <si>
    <t>Tulos juoksulajiessa kirjattu sekunneissa</t>
  </si>
  <si>
    <t>Tulos heittolajeissa kirjattu metreissä</t>
  </si>
  <si>
    <t>Tulos hyppylajeissa kirjattu senteissä</t>
  </si>
  <si>
    <t>1.04,30</t>
  </si>
  <si>
    <t>2.15,00</t>
  </si>
  <si>
    <t>EI LAJIPARAMETREJÄ - TULOS PISTEMÄÄRÄ SUUNTAA ANTAVA</t>
  </si>
  <si>
    <t>IKÄKERROIN TULOS WMA:N MUKAAN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</si>
</sst>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m_k_-;\-* #,##0\ _m_k_-;_-* &quot;-&quot;\ _m_k_-;_-@_-"/>
    <numFmt numFmtId="165" formatCode="_-* #,##0.00\ _m_k_-;\-* #,##0.00\ _m_k_-;_-* &quot;-&quot;??\ _m_k_-;_-@_-"/>
    <numFmt numFmtId="166" formatCode="0.0000"/>
    <numFmt numFmtId="167" formatCode="_-* #,##0\ _m_k_-;\-* #,##0\ _m_k_-;_-* &quot;-&quot;??\ _m_k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B6DE7"/>
        <bgColor indexed="64"/>
      </patternFill>
    </fill>
    <fill>
      <patternFill patternType="solid">
        <fgColor rgb="FFFC8EE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5" borderId="0" applyNumberFormat="0" applyBorder="0" applyAlignment="0" applyProtection="0"/>
  </cellStyleXfs>
  <cellXfs count="86">
    <xf numFmtId="0" fontId="0" fillId="0" borderId="0" xfId="0"/>
    <xf numFmtId="164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1" applyFont="1" applyAlignment="1">
      <alignment horizontal="center"/>
    </xf>
    <xf numFmtId="164" fontId="2" fillId="0" borderId="0" xfId="2" applyFont="1" applyAlignment="1">
      <alignment horizontal="center"/>
    </xf>
    <xf numFmtId="165" fontId="0" fillId="0" borderId="0" xfId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3" fillId="0" borderId="0" xfId="2" applyNumberFormat="1" applyFont="1" applyAlignment="1">
      <alignment horizontal="center"/>
    </xf>
    <xf numFmtId="0" fontId="4" fillId="0" borderId="0" xfId="0" applyFont="1"/>
    <xf numFmtId="0" fontId="0" fillId="0" borderId="0" xfId="0" quotePrefix="1"/>
    <xf numFmtId="0" fontId="0" fillId="2" borderId="0" xfId="0" applyFill="1"/>
    <xf numFmtId="165" fontId="0" fillId="0" borderId="0" xfId="1" applyFont="1" applyFill="1" applyAlignment="1">
      <alignment horizontal="center"/>
    </xf>
    <xf numFmtId="164" fontId="2" fillId="0" borderId="0" xfId="2" applyFont="1" applyFill="1" applyAlignment="1">
      <alignment horizontal="center"/>
    </xf>
    <xf numFmtId="0" fontId="3" fillId="0" borderId="0" xfId="2" applyNumberFormat="1" applyFont="1" applyFill="1" applyAlignment="1">
      <alignment horizontal="center"/>
    </xf>
    <xf numFmtId="165" fontId="2" fillId="0" borderId="0" xfId="1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/>
    <xf numFmtId="0" fontId="0" fillId="3" borderId="0" xfId="0" applyFill="1"/>
    <xf numFmtId="0" fontId="2" fillId="3" borderId="0" xfId="0" applyFont="1" applyFill="1" applyAlignment="1">
      <alignment horizontal="center"/>
    </xf>
    <xf numFmtId="165" fontId="2" fillId="3" borderId="0" xfId="1" applyFont="1" applyFill="1" applyAlignment="1">
      <alignment horizontal="center"/>
    </xf>
    <xf numFmtId="0" fontId="0" fillId="3" borderId="0" xfId="0" applyFill="1" applyAlignment="1">
      <alignment horizontal="center"/>
    </xf>
    <xf numFmtId="165" fontId="0" fillId="3" borderId="0" xfId="1" applyFont="1" applyFill="1" applyAlignment="1">
      <alignment horizontal="center"/>
    </xf>
    <xf numFmtId="164" fontId="2" fillId="3" borderId="0" xfId="2" applyFont="1" applyFill="1" applyAlignment="1">
      <alignment horizontal="center"/>
    </xf>
    <xf numFmtId="164" fontId="0" fillId="3" borderId="0" xfId="0" applyNumberFormat="1" applyFill="1"/>
    <xf numFmtId="0" fontId="3" fillId="0" borderId="0" xfId="0" applyFont="1"/>
    <xf numFmtId="164" fontId="3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164" fontId="0" fillId="0" borderId="0" xfId="2" applyFont="1" applyFill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5" borderId="0" xfId="3"/>
    <xf numFmtId="0" fontId="0" fillId="6" borderId="0" xfId="0" applyFill="1"/>
    <xf numFmtId="0" fontId="0" fillId="7" borderId="0" xfId="0" applyFill="1"/>
    <xf numFmtId="0" fontId="0" fillId="8" borderId="0" xfId="0" applyFill="1"/>
    <xf numFmtId="0" fontId="9" fillId="9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165" fontId="1" fillId="6" borderId="1" xfId="1" applyFont="1" applyFill="1" applyBorder="1" applyAlignment="1">
      <alignment horizontal="center"/>
    </xf>
    <xf numFmtId="164" fontId="1" fillId="6" borderId="1" xfId="2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7" borderId="1" xfId="1" applyFont="1" applyFill="1" applyBorder="1" applyAlignment="1">
      <alignment horizontal="center"/>
    </xf>
    <xf numFmtId="164" fontId="1" fillId="7" borderId="1" xfId="2" applyFont="1" applyFill="1" applyBorder="1" applyAlignment="1">
      <alignment horizontal="center"/>
    </xf>
    <xf numFmtId="164" fontId="1" fillId="8" borderId="1" xfId="2" applyFont="1" applyFill="1" applyBorder="1" applyAlignment="1">
      <alignment horizontal="center"/>
    </xf>
    <xf numFmtId="0" fontId="1" fillId="0" borderId="1" xfId="2" applyNumberFormat="1" applyFont="1" applyBorder="1" applyAlignment="1">
      <alignment horizontal="center"/>
    </xf>
    <xf numFmtId="0" fontId="1" fillId="0" borderId="1" xfId="2" applyNumberFormat="1" applyFont="1" applyFill="1" applyBorder="1" applyAlignment="1">
      <alignment horizontal="center"/>
    </xf>
    <xf numFmtId="165" fontId="1" fillId="6" borderId="1" xfId="1" quotePrefix="1" applyFont="1" applyFill="1" applyBorder="1" applyAlignment="1">
      <alignment horizontal="center"/>
    </xf>
    <xf numFmtId="165" fontId="1" fillId="6" borderId="0" xfId="1" applyFont="1" applyFill="1" applyBorder="1" applyAlignment="1">
      <alignment horizontal="center"/>
    </xf>
    <xf numFmtId="165" fontId="1" fillId="7" borderId="0" xfId="1" applyFont="1" applyFill="1" applyBorder="1" applyAlignment="1">
      <alignment horizontal="center"/>
    </xf>
    <xf numFmtId="164" fontId="1" fillId="8" borderId="0" xfId="2" applyFont="1" applyFill="1" applyBorder="1" applyAlignment="1">
      <alignment horizontal="center"/>
    </xf>
    <xf numFmtId="0" fontId="0" fillId="10" borderId="0" xfId="0" applyFill="1"/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0" fontId="0" fillId="11" borderId="0" xfId="0" applyFill="1"/>
    <xf numFmtId="0" fontId="1" fillId="12" borderId="1" xfId="0" applyFont="1" applyFill="1" applyBorder="1" applyAlignment="1">
      <alignment horizontal="center"/>
    </xf>
    <xf numFmtId="167" fontId="1" fillId="6" borderId="1" xfId="1" applyNumberFormat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165" fontId="1" fillId="0" borderId="1" xfId="1" applyFont="1" applyBorder="1" applyAlignment="1">
      <alignment horizontal="center"/>
    </xf>
    <xf numFmtId="164" fontId="1" fillId="0" borderId="1" xfId="2" applyFont="1" applyFill="1" applyBorder="1" applyAlignment="1">
      <alignment horizontal="center"/>
    </xf>
    <xf numFmtId="164" fontId="1" fillId="0" borderId="1" xfId="2" applyFont="1" applyBorder="1" applyAlignment="1">
      <alignment horizontal="center"/>
    </xf>
    <xf numFmtId="0" fontId="10" fillId="9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11" borderId="0" xfId="0" applyFont="1" applyFill="1" applyAlignment="1">
      <alignment horizontal="center"/>
    </xf>
    <xf numFmtId="0" fontId="2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/>
    </xf>
    <xf numFmtId="165" fontId="0" fillId="7" borderId="0" xfId="1" applyFont="1" applyFill="1" applyAlignment="1">
      <alignment horizontal="center"/>
    </xf>
    <xf numFmtId="165" fontId="2" fillId="7" borderId="0" xfId="1" applyFont="1" applyFill="1" applyAlignment="1">
      <alignment horizontal="center"/>
    </xf>
    <xf numFmtId="165" fontId="2" fillId="6" borderId="0" xfId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164" fontId="2" fillId="8" borderId="0" xfId="2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8" fillId="0" borderId="0" xfId="3" applyFill="1"/>
  </cellXfs>
  <cellStyles count="4">
    <cellStyle name="Huono" xfId="3" builtinId="27"/>
    <cellStyle name="Normaali" xfId="0" builtinId="0"/>
    <cellStyle name="Pilkku" xfId="1" builtinId="3"/>
    <cellStyle name="Pilkku [0]" xfId="2" builtinId="6"/>
  </cellStyles>
  <dxfs count="0"/>
  <tableStyles count="0" defaultTableStyle="TableStyleMedium9" defaultPivotStyle="PivotStyleLight16"/>
  <colors>
    <mruColors>
      <color rgb="FFFC8EEC"/>
      <color rgb="FFCC00FF"/>
      <color rgb="FFFB6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2"/>
  <sheetViews>
    <sheetView workbookViewId="0">
      <pane ySplit="1365" activePane="bottomLeft"/>
      <selection pane="bottomLeft" activeCell="A3" sqref="A3"/>
    </sheetView>
  </sheetViews>
  <sheetFormatPr defaultRowHeight="12.75" x14ac:dyDescent="0.2"/>
  <cols>
    <col min="2" max="2" width="11.7109375" customWidth="1"/>
    <col min="3" max="3" width="12.28515625" customWidth="1"/>
    <col min="4" max="4" width="12" customWidth="1"/>
    <col min="5" max="5" width="12.7109375" customWidth="1"/>
    <col min="6" max="6" width="13.5703125" customWidth="1"/>
    <col min="7" max="7" width="12" customWidth="1"/>
    <col min="8" max="8" width="12.140625" customWidth="1"/>
  </cols>
  <sheetData>
    <row r="1" spans="1:13" ht="15.75" x14ac:dyDescent="0.25">
      <c r="A1" s="13" t="s">
        <v>46</v>
      </c>
    </row>
    <row r="3" spans="1:13" x14ac:dyDescent="0.2">
      <c r="B3" s="21" t="s">
        <v>4</v>
      </c>
      <c r="C3" s="21" t="s">
        <v>5</v>
      </c>
      <c r="D3" s="21" t="s">
        <v>3</v>
      </c>
      <c r="E3" s="21" t="s">
        <v>13</v>
      </c>
      <c r="F3" s="21" t="s">
        <v>16</v>
      </c>
    </row>
    <row r="4" spans="1:13" x14ac:dyDescent="0.2">
      <c r="B4" s="2"/>
    </row>
    <row r="5" spans="1:13" x14ac:dyDescent="0.2">
      <c r="A5" s="4">
        <v>30</v>
      </c>
      <c r="B5" s="7">
        <v>685</v>
      </c>
      <c r="C5" s="6">
        <v>52.97</v>
      </c>
      <c r="D5" s="6">
        <v>23.14</v>
      </c>
      <c r="E5" s="6">
        <v>41.36</v>
      </c>
      <c r="F5" s="6">
        <f>5*60+23.11</f>
        <v>323.11</v>
      </c>
    </row>
    <row r="6" spans="1:13" x14ac:dyDescent="0.2">
      <c r="A6" s="2"/>
      <c r="B6" s="2">
        <v>1</v>
      </c>
      <c r="C6" s="2">
        <v>1</v>
      </c>
      <c r="D6" s="2">
        <v>1</v>
      </c>
      <c r="E6" s="2">
        <v>1</v>
      </c>
      <c r="F6" s="2">
        <v>1</v>
      </c>
    </row>
    <row r="7" spans="1:13" x14ac:dyDescent="0.2">
      <c r="A7" s="2"/>
      <c r="B7" s="1">
        <f>+TRUNC((B5*B6),0)</f>
        <v>685</v>
      </c>
      <c r="C7" s="8">
        <f>+TRUNC((C5*C6),2)</f>
        <v>52.97</v>
      </c>
      <c r="D7" s="8">
        <f>+ROUNDUP((D5*D6),2)</f>
        <v>23.14</v>
      </c>
      <c r="E7" s="8">
        <f>+TRUNC((E5*E6),2)</f>
        <v>41.36</v>
      </c>
      <c r="F7" s="8">
        <f>+ROUNDUP((F5*F6),2)</f>
        <v>323.11</v>
      </c>
    </row>
    <row r="8" spans="1:13" x14ac:dyDescent="0.2">
      <c r="A8" s="1"/>
      <c r="B8" s="7">
        <f>TRUNC(0.14354*(B7-220)^1.4)</f>
        <v>778</v>
      </c>
      <c r="C8" s="7">
        <f>TRUNC(10.14*(C7-7)^1.08)</f>
        <v>633</v>
      </c>
      <c r="D8" s="7">
        <f>TRUNC(5.8425*(38-D7)^1.81)</f>
        <v>772</v>
      </c>
      <c r="E8" s="7">
        <f>TRUNC(12.91*(E7-4)^1.1)</f>
        <v>692</v>
      </c>
      <c r="F8" s="7">
        <f>TRUNC(0.03768*(480-F7)^1.85)</f>
        <v>434</v>
      </c>
      <c r="G8" s="11">
        <f>B8+C8+D8+E8+F8</f>
        <v>3309</v>
      </c>
      <c r="H8" t="s">
        <v>40</v>
      </c>
    </row>
    <row r="9" spans="1:13" x14ac:dyDescent="0.2">
      <c r="B9" s="2"/>
    </row>
    <row r="10" spans="1:13" x14ac:dyDescent="0.2">
      <c r="A10" s="4">
        <v>35</v>
      </c>
      <c r="B10" s="7">
        <v>635</v>
      </c>
      <c r="C10" s="6">
        <v>50.83</v>
      </c>
      <c r="D10" s="6">
        <v>24.9</v>
      </c>
      <c r="E10" s="6">
        <v>39.11</v>
      </c>
      <c r="F10" s="6">
        <f>5*60+15.75</f>
        <v>315.75</v>
      </c>
      <c r="I10" s="7"/>
      <c r="J10" s="6"/>
      <c r="K10" s="6"/>
      <c r="L10" s="6"/>
      <c r="M10" s="6"/>
    </row>
    <row r="11" spans="1:13" x14ac:dyDescent="0.2">
      <c r="A11" s="2"/>
      <c r="B11" s="2">
        <v>1.0317000000000001</v>
      </c>
      <c r="C11" s="2">
        <v>1.0125999999999999</v>
      </c>
      <c r="D11" s="2">
        <v>0.98370000000000002</v>
      </c>
      <c r="E11" s="2">
        <v>1.0143</v>
      </c>
      <c r="F11" s="2">
        <v>0.99129999999999996</v>
      </c>
    </row>
    <row r="12" spans="1:13" x14ac:dyDescent="0.2">
      <c r="A12" s="2"/>
      <c r="B12" s="1">
        <f>+TRUNC((B10*B11),0)</f>
        <v>655</v>
      </c>
      <c r="C12" s="8">
        <f>+TRUNC((C10*C11),2)</f>
        <v>51.47</v>
      </c>
      <c r="D12" s="8">
        <f>+ROUNDUP((D10*D11),2)</f>
        <v>24.5</v>
      </c>
      <c r="E12" s="8">
        <f>+TRUNC((E10*E11),2)</f>
        <v>39.659999999999997</v>
      </c>
      <c r="F12" s="8">
        <f>+ROUNDUP((F10*F11),2)</f>
        <v>313.01</v>
      </c>
      <c r="G12" s="2">
        <v>3113</v>
      </c>
      <c r="H12" s="36" t="s">
        <v>30</v>
      </c>
    </row>
    <row r="13" spans="1:13" x14ac:dyDescent="0.2">
      <c r="A13" s="1"/>
      <c r="B13" s="7">
        <f>TRUNC(0.14354*(B12-220)^1.4)</f>
        <v>709</v>
      </c>
      <c r="C13" s="7">
        <f>TRUNC(10.14*(C12-7)^1.08)</f>
        <v>610</v>
      </c>
      <c r="D13" s="7">
        <f>TRUNC(5.8425*(38-D12)^1.81)</f>
        <v>649</v>
      </c>
      <c r="E13" s="7">
        <f>TRUNC(12.91*(E12-4)^1.1)</f>
        <v>658</v>
      </c>
      <c r="F13" s="7">
        <f>TRUNC(0.03768*(480-F12)^1.85)</f>
        <v>487</v>
      </c>
      <c r="G13" s="11">
        <f>B13+C13+D13+E13+F13</f>
        <v>3113</v>
      </c>
      <c r="H13" s="30" t="s">
        <v>47</v>
      </c>
    </row>
    <row r="14" spans="1:13" x14ac:dyDescent="0.2">
      <c r="B14" s="4"/>
      <c r="C14" s="4"/>
      <c r="D14" s="4"/>
      <c r="E14" s="4"/>
      <c r="F14" s="4"/>
    </row>
    <row r="15" spans="1:13" x14ac:dyDescent="0.2">
      <c r="A15" s="4">
        <v>40</v>
      </c>
      <c r="B15" s="7">
        <v>577</v>
      </c>
      <c r="C15" s="6">
        <v>48.91</v>
      </c>
      <c r="D15" s="6">
        <v>23.2</v>
      </c>
      <c r="E15" s="6">
        <v>31.59</v>
      </c>
      <c r="F15" s="6">
        <f>4*60+43.5</f>
        <v>283.5</v>
      </c>
    </row>
    <row r="16" spans="1:13" x14ac:dyDescent="0.2">
      <c r="A16" s="2"/>
      <c r="B16" s="2">
        <v>1.0899000000000001</v>
      </c>
      <c r="C16" s="2">
        <v>1.0862000000000001</v>
      </c>
      <c r="D16" s="2">
        <v>0.9536</v>
      </c>
      <c r="E16" s="2">
        <v>1.1013999999999999</v>
      </c>
      <c r="F16" s="2">
        <v>0.95189999999999997</v>
      </c>
    </row>
    <row r="17" spans="1:13" x14ac:dyDescent="0.2">
      <c r="A17" s="2"/>
      <c r="B17" s="1">
        <f>+TRUNC((B15*B16),0)</f>
        <v>628</v>
      </c>
      <c r="C17" s="8">
        <f>+TRUNC((C15*C16),2)</f>
        <v>53.12</v>
      </c>
      <c r="D17" s="8">
        <f>+ROUNDUP((D15*D16),2)</f>
        <v>22.130000000000003</v>
      </c>
      <c r="E17" s="8">
        <f>+TRUNC((E15*E16),2)</f>
        <v>34.79</v>
      </c>
      <c r="F17" s="8">
        <f>+ROUNDUP((F15*F16),2)</f>
        <v>269.87</v>
      </c>
    </row>
    <row r="18" spans="1:13" x14ac:dyDescent="0.2">
      <c r="A18" s="7"/>
      <c r="B18" s="7">
        <f>TRUNC(0.14354*(B17-220)^1.4)</f>
        <v>648</v>
      </c>
      <c r="C18" s="7">
        <f>TRUNC(10.14*(C17-7)^1.08)</f>
        <v>635</v>
      </c>
      <c r="D18" s="7">
        <f>TRUNC(5.8425*(38-D17)^1.81)</f>
        <v>870</v>
      </c>
      <c r="E18" s="7">
        <f>TRUNC(12.91*(E17-4)^1.1)</f>
        <v>559</v>
      </c>
      <c r="F18" s="7">
        <f>TRUNC(0.03768*(480-F17)^1.85)</f>
        <v>745</v>
      </c>
      <c r="G18" s="11">
        <f>B18+C18+D18+E18+F18</f>
        <v>3457</v>
      </c>
      <c r="H18" t="s">
        <v>30</v>
      </c>
    </row>
    <row r="19" spans="1:13" x14ac:dyDescent="0.2">
      <c r="A19" s="5"/>
      <c r="B19" s="4"/>
      <c r="C19" s="4"/>
      <c r="D19" s="4"/>
      <c r="E19" s="4"/>
      <c r="F19" s="4"/>
    </row>
    <row r="20" spans="1:13" x14ac:dyDescent="0.2">
      <c r="A20" s="4">
        <v>45</v>
      </c>
      <c r="B20" s="7">
        <v>572</v>
      </c>
      <c r="C20" s="6">
        <v>48.91</v>
      </c>
      <c r="D20" s="6">
        <v>24.02</v>
      </c>
      <c r="E20" s="6">
        <v>32.25</v>
      </c>
      <c r="F20" s="6">
        <f>5*60+6.42</f>
        <v>306.42</v>
      </c>
    </row>
    <row r="21" spans="1:13" x14ac:dyDescent="0.2">
      <c r="A21" s="2"/>
      <c r="B21" s="2">
        <v>1.1551</v>
      </c>
      <c r="C21" s="2">
        <v>1.1716</v>
      </c>
      <c r="D21" s="2">
        <v>0.92349999999999999</v>
      </c>
      <c r="E21" s="2">
        <v>1.2049000000000001</v>
      </c>
      <c r="F21" s="2">
        <v>0.91249999999999998</v>
      </c>
    </row>
    <row r="22" spans="1:13" x14ac:dyDescent="0.2">
      <c r="A22" s="2"/>
      <c r="B22" s="1">
        <f>+TRUNC((B20*B21),0)</f>
        <v>660</v>
      </c>
      <c r="C22" s="8">
        <f>+TRUNC((C20*C21),2)</f>
        <v>57.3</v>
      </c>
      <c r="D22" s="8">
        <f>+ROUNDUP((D20*D21),2)</f>
        <v>22.19</v>
      </c>
      <c r="E22" s="8">
        <f>+TRUNC((E20*E21),2)</f>
        <v>38.85</v>
      </c>
      <c r="F22" s="8">
        <f>+ROUNDUP((F20*F21),2)</f>
        <v>279.61</v>
      </c>
    </row>
    <row r="23" spans="1:13" x14ac:dyDescent="0.2">
      <c r="A23" s="1"/>
      <c r="B23" s="7">
        <f>TRUNC(0.14354*(B22-220)^1.4)</f>
        <v>720</v>
      </c>
      <c r="C23" s="7">
        <f>TRUNC(10.14*(C22-7)^1.08)</f>
        <v>697</v>
      </c>
      <c r="D23" s="7">
        <f>TRUNC(5.8425*(38-D22)^1.81)</f>
        <v>864</v>
      </c>
      <c r="E23" s="7">
        <f>TRUNC(12.91*(E22-4)^1.1)</f>
        <v>641</v>
      </c>
      <c r="F23" s="7">
        <f>TRUNC(0.03768*(480-F22)^1.85)</f>
        <v>683</v>
      </c>
      <c r="G23" s="11">
        <f>B23+C23+D23+E23+F23</f>
        <v>3605</v>
      </c>
      <c r="H23" t="s">
        <v>30</v>
      </c>
    </row>
    <row r="24" spans="1:13" x14ac:dyDescent="0.2">
      <c r="B24" s="2"/>
      <c r="C24" s="2"/>
      <c r="D24" s="2"/>
      <c r="E24" s="2"/>
      <c r="F24" s="2"/>
    </row>
    <row r="25" spans="1:13" x14ac:dyDescent="0.2">
      <c r="A25" s="4">
        <v>50</v>
      </c>
      <c r="B25" s="7">
        <v>487</v>
      </c>
      <c r="C25" s="6">
        <v>44.86</v>
      </c>
      <c r="D25" s="6">
        <v>27.01</v>
      </c>
      <c r="E25" s="6">
        <v>34.43</v>
      </c>
      <c r="F25" s="6">
        <f>5*60+20.99</f>
        <v>320.99</v>
      </c>
    </row>
    <row r="26" spans="1:13" x14ac:dyDescent="0.2">
      <c r="A26" s="2"/>
      <c r="B26" s="2">
        <v>1.2285999999999999</v>
      </c>
      <c r="C26" s="2">
        <v>1.2278</v>
      </c>
      <c r="D26" s="2">
        <v>0.89339999999999997</v>
      </c>
      <c r="E26" s="2">
        <v>1.0218</v>
      </c>
      <c r="F26" s="2">
        <v>0.87309999999999999</v>
      </c>
    </row>
    <row r="27" spans="1:13" x14ac:dyDescent="0.2">
      <c r="A27" s="2"/>
      <c r="B27" s="1">
        <f>+TRUNC((B25*B26),0)</f>
        <v>598</v>
      </c>
      <c r="C27" s="8">
        <f>+TRUNC((C25*C26),2)</f>
        <v>55.07</v>
      </c>
      <c r="D27" s="8">
        <f>+ROUNDUP((D25*D26),2)</f>
        <v>24.14</v>
      </c>
      <c r="E27" s="8">
        <f>+TRUNC((E25*E26),2)</f>
        <v>35.18</v>
      </c>
      <c r="F27" s="8">
        <f>+ROUNDUP((F25*F26),2)</f>
        <v>280.26</v>
      </c>
    </row>
    <row r="28" spans="1:13" x14ac:dyDescent="0.2">
      <c r="A28" s="1"/>
      <c r="B28" s="7">
        <f>TRUNC(0.14354*(B27-220)^1.4)</f>
        <v>582</v>
      </c>
      <c r="C28" s="7">
        <f>TRUNC(10.14*(C27-7)^1.08)</f>
        <v>664</v>
      </c>
      <c r="D28" s="7">
        <f>TRUNC(5.8425*(38-D27)^1.81)</f>
        <v>681</v>
      </c>
      <c r="E28" s="7">
        <f>TRUNC(12.91*(E27-4)^1.1)</f>
        <v>567</v>
      </c>
      <c r="F28" s="7">
        <f>TRUNC(0.03768*(480-F27)^1.85)</f>
        <v>679</v>
      </c>
      <c r="G28" s="11">
        <f>B28+C28+D28+E28+F28</f>
        <v>3173</v>
      </c>
      <c r="H28" t="s">
        <v>31</v>
      </c>
    </row>
    <row r="29" spans="1:13" x14ac:dyDescent="0.2">
      <c r="B29" s="2"/>
      <c r="C29" s="2"/>
      <c r="D29" s="2"/>
      <c r="E29" s="2"/>
      <c r="F29" s="2"/>
    </row>
    <row r="30" spans="1:13" x14ac:dyDescent="0.2">
      <c r="A30" s="4">
        <v>55</v>
      </c>
      <c r="B30" s="7">
        <v>556</v>
      </c>
      <c r="C30" s="6">
        <v>38.42</v>
      </c>
      <c r="D30" s="6">
        <v>25.71</v>
      </c>
      <c r="E30" s="6">
        <v>36.72</v>
      </c>
      <c r="F30" s="6">
        <f>6*60+42.12</f>
        <v>402.12</v>
      </c>
      <c r="I30" s="7"/>
      <c r="J30" s="6"/>
      <c r="K30" s="6"/>
      <c r="L30" s="6"/>
      <c r="M30" s="6"/>
    </row>
    <row r="31" spans="1:13" x14ac:dyDescent="0.2">
      <c r="A31" s="2"/>
      <c r="B31" s="2">
        <v>1.3121</v>
      </c>
      <c r="C31" s="2">
        <v>1.3380000000000001</v>
      </c>
      <c r="D31" s="2">
        <v>0.86329999999999996</v>
      </c>
      <c r="E31" s="2">
        <v>1.1103000000000001</v>
      </c>
      <c r="F31" s="2">
        <v>0.8337</v>
      </c>
    </row>
    <row r="32" spans="1:13" x14ac:dyDescent="0.2">
      <c r="A32" s="2"/>
      <c r="B32" s="1">
        <f>+TRUNC((B30*B31),0)</f>
        <v>729</v>
      </c>
      <c r="C32" s="8">
        <f>+TRUNC((C30*C31),2)</f>
        <v>51.4</v>
      </c>
      <c r="D32" s="8">
        <f>+ROUNDUP((D30*D31),2)</f>
        <v>22.200000000000003</v>
      </c>
      <c r="E32" s="8">
        <f>+TRUNC((E30*E31),2)</f>
        <v>40.770000000000003</v>
      </c>
      <c r="F32" s="8">
        <f>+ROUNDUP((F30*F31),2)</f>
        <v>335.25</v>
      </c>
    </row>
    <row r="33" spans="1:8" x14ac:dyDescent="0.2">
      <c r="A33" s="1"/>
      <c r="B33" s="7">
        <f>TRUNC(0.14354*(B32-220)^1.4)</f>
        <v>883</v>
      </c>
      <c r="C33" s="7">
        <f>TRUNC(10.14*(C32-7)^1.08)</f>
        <v>609</v>
      </c>
      <c r="D33" s="7">
        <f>TRUNC(5.8425*(38-D32)^1.81)</f>
        <v>863</v>
      </c>
      <c r="E33" s="7">
        <f>TRUNC(12.91*(E32-4)^1.1)</f>
        <v>680</v>
      </c>
      <c r="F33" s="7">
        <f>TRUNC(0.03768*(480-F32)^1.85)</f>
        <v>374</v>
      </c>
      <c r="G33" s="11">
        <f>B33+C33+D33+E33+F33</f>
        <v>3409</v>
      </c>
      <c r="H33" s="30" t="s">
        <v>41</v>
      </c>
    </row>
    <row r="34" spans="1:8" x14ac:dyDescent="0.2">
      <c r="A34" t="s">
        <v>0</v>
      </c>
      <c r="B34" s="2"/>
      <c r="C34" s="2"/>
      <c r="D34" s="2"/>
      <c r="E34" s="2"/>
      <c r="F34" s="2"/>
    </row>
    <row r="35" spans="1:8" x14ac:dyDescent="0.2">
      <c r="A35" s="4">
        <v>60</v>
      </c>
      <c r="B35" s="7">
        <v>488</v>
      </c>
      <c r="C35" s="6">
        <v>34</v>
      </c>
      <c r="D35" s="6">
        <v>28.46</v>
      </c>
      <c r="E35" s="6">
        <v>35.19</v>
      </c>
      <c r="F35" s="6">
        <f>5*60+31.63</f>
        <v>331.63</v>
      </c>
    </row>
    <row r="36" spans="1:8" x14ac:dyDescent="0.2">
      <c r="A36" s="2"/>
      <c r="B36" s="2">
        <v>1.4077999999999999</v>
      </c>
      <c r="C36" s="2">
        <v>1.4139999999999999</v>
      </c>
      <c r="D36" s="2">
        <v>0.83320000000000005</v>
      </c>
      <c r="E36" s="2">
        <v>1.0628</v>
      </c>
      <c r="F36" s="2">
        <v>0.79390000000000005</v>
      </c>
    </row>
    <row r="37" spans="1:8" x14ac:dyDescent="0.2">
      <c r="A37" s="2"/>
      <c r="B37" s="1">
        <f>+TRUNC((B35*B36),0)</f>
        <v>687</v>
      </c>
      <c r="C37" s="8">
        <f>+TRUNC((C35*C36),2)</f>
        <v>48.07</v>
      </c>
      <c r="D37" s="8">
        <f>+ROUNDUP((D35*D36),2)</f>
        <v>23.720000000000002</v>
      </c>
      <c r="E37" s="8">
        <f>+TRUNC((E35*E36),2)</f>
        <v>37.39</v>
      </c>
      <c r="F37" s="8">
        <f>+ROUNDUP((F35*F36),2)</f>
        <v>263.28999999999996</v>
      </c>
    </row>
    <row r="38" spans="1:8" x14ac:dyDescent="0.2">
      <c r="A38" s="1"/>
      <c r="B38" s="7">
        <f>TRUNC(0.14354*(B37-220)^1.4)</f>
        <v>783</v>
      </c>
      <c r="C38" s="7">
        <f>TRUNC(10.14*(C37-7)^1.08)</f>
        <v>560</v>
      </c>
      <c r="D38" s="7">
        <f>TRUNC(5.8425*(38-D37)^1.81)</f>
        <v>718</v>
      </c>
      <c r="E38" s="7">
        <f>TRUNC(12.91*(E37-4)^1.1)</f>
        <v>612</v>
      </c>
      <c r="F38" s="7">
        <f>TRUNC(0.03768*(480-F37)^1.85)</f>
        <v>789</v>
      </c>
      <c r="G38" s="11">
        <f>B38+C38+D38+E38+F38</f>
        <v>3462</v>
      </c>
      <c r="H38" t="s">
        <v>32</v>
      </c>
    </row>
    <row r="39" spans="1:8" x14ac:dyDescent="0.2">
      <c r="B39" s="2"/>
      <c r="C39" s="2"/>
      <c r="D39" s="2"/>
      <c r="E39" s="2"/>
      <c r="F39" s="2"/>
    </row>
    <row r="40" spans="1:8" x14ac:dyDescent="0.2">
      <c r="A40" s="4">
        <v>65</v>
      </c>
      <c r="B40" s="7">
        <v>477</v>
      </c>
      <c r="C40" s="6">
        <v>38.21</v>
      </c>
      <c r="D40" s="6">
        <v>28.94</v>
      </c>
      <c r="E40" s="6">
        <v>39.51</v>
      </c>
      <c r="F40" s="6">
        <f>6*60+30.87</f>
        <v>390.87</v>
      </c>
    </row>
    <row r="41" spans="1:8" x14ac:dyDescent="0.2">
      <c r="A41" s="2"/>
      <c r="B41" s="2">
        <v>1.5185999999999999</v>
      </c>
      <c r="C41" s="2">
        <v>1.5620000000000001</v>
      </c>
      <c r="D41" s="2">
        <v>0.80069999999999997</v>
      </c>
      <c r="E41" s="2">
        <v>1.1637</v>
      </c>
      <c r="F41" s="2">
        <v>0.75290000000000001</v>
      </c>
    </row>
    <row r="42" spans="1:8" x14ac:dyDescent="0.2">
      <c r="A42" s="2"/>
      <c r="B42" s="1">
        <f>+TRUNC((B40*B41),0)</f>
        <v>724</v>
      </c>
      <c r="C42" s="8">
        <f>+TRUNC((C40*C41),2)</f>
        <v>59.68</v>
      </c>
      <c r="D42" s="8">
        <f>+ROUNDUP((D40*D41),2)</f>
        <v>23.180000000000003</v>
      </c>
      <c r="E42" s="8">
        <f>+TRUNC((E40*E41),2)</f>
        <v>45.97</v>
      </c>
      <c r="F42" s="8">
        <f>+ROUNDUP((F40*F41),2)</f>
        <v>294.28999999999996</v>
      </c>
    </row>
    <row r="43" spans="1:8" x14ac:dyDescent="0.2">
      <c r="A43" s="1"/>
      <c r="B43" s="7">
        <f>TRUNC(0.14354*(B42-220)^1.4)</f>
        <v>871</v>
      </c>
      <c r="C43" s="7">
        <f>TRUNC(10.14*(C42-7)^1.08)</f>
        <v>733</v>
      </c>
      <c r="D43" s="7">
        <f>TRUNC(5.8425*(38-D42)^1.81)</f>
        <v>768</v>
      </c>
      <c r="E43" s="7">
        <f>TRUNC(12.91*(E42-4)^1.1)</f>
        <v>787</v>
      </c>
      <c r="F43" s="7">
        <f>TRUNC(0.03768*(480-F42)^1.85)</f>
        <v>593</v>
      </c>
      <c r="G43" s="11">
        <f>B43+C43+D43+E43+F43</f>
        <v>3752</v>
      </c>
      <c r="H43" t="s">
        <v>29</v>
      </c>
    </row>
    <row r="44" spans="1:8" x14ac:dyDescent="0.2">
      <c r="B44" s="2"/>
    </row>
    <row r="45" spans="1:8" x14ac:dyDescent="0.2">
      <c r="A45" s="4">
        <v>70</v>
      </c>
      <c r="B45" s="7">
        <v>457</v>
      </c>
      <c r="C45" s="6">
        <v>39.11</v>
      </c>
      <c r="D45" s="6">
        <v>30.61</v>
      </c>
      <c r="E45" s="6">
        <v>36.36</v>
      </c>
      <c r="F45" s="6">
        <f>7*60+9.44</f>
        <v>429.44</v>
      </c>
    </row>
    <row r="46" spans="1:8" x14ac:dyDescent="0.2">
      <c r="A46" s="2"/>
      <c r="B46" s="2">
        <v>1.6482000000000001</v>
      </c>
      <c r="C46" s="2">
        <v>1.6800999999999999</v>
      </c>
      <c r="D46" s="2">
        <v>0.76419999999999999</v>
      </c>
      <c r="E46" s="2">
        <v>1.2781</v>
      </c>
      <c r="F46" s="2">
        <v>0.70789999999999997</v>
      </c>
    </row>
    <row r="47" spans="1:8" x14ac:dyDescent="0.2">
      <c r="A47" s="2"/>
      <c r="B47" s="1">
        <f>+TRUNC((B45*B46),0)</f>
        <v>753</v>
      </c>
      <c r="C47" s="8">
        <f>+TRUNC((C45*C46),2)</f>
        <v>65.7</v>
      </c>
      <c r="D47" s="8">
        <f>+ROUNDUP((D45*D46),2)</f>
        <v>23.400000000000002</v>
      </c>
      <c r="E47" s="8">
        <f>+TRUNC((E45*E46),2)</f>
        <v>46.47</v>
      </c>
      <c r="F47" s="8">
        <f>+ROUNDUP((F45*F46),2)</f>
        <v>304.01</v>
      </c>
    </row>
    <row r="48" spans="1:8" x14ac:dyDescent="0.2">
      <c r="A48" s="1"/>
      <c r="B48" s="7">
        <f>TRUNC(0.14354*(B47-220)^1.4)</f>
        <v>942</v>
      </c>
      <c r="C48" s="7">
        <f>TRUNC(10.14*(C47-7)^1.08)</f>
        <v>824</v>
      </c>
      <c r="D48" s="7">
        <f>TRUNC(5.8425*(38-D47)^1.81)</f>
        <v>748</v>
      </c>
      <c r="E48" s="7">
        <f>TRUNC(12.91*(E47-4)^1.1)</f>
        <v>797</v>
      </c>
      <c r="F48" s="7">
        <f>TRUNC(0.03768*(480-F47)^1.85)</f>
        <v>537</v>
      </c>
      <c r="G48" s="11">
        <f>B48+C48+D48+E48+F48</f>
        <v>3848</v>
      </c>
      <c r="H48" t="s">
        <v>29</v>
      </c>
    </row>
    <row r="49" spans="1:9" x14ac:dyDescent="0.2">
      <c r="B49" s="2"/>
    </row>
    <row r="50" spans="1:9" x14ac:dyDescent="0.2">
      <c r="A50" s="4">
        <v>75</v>
      </c>
      <c r="B50" s="7">
        <v>377</v>
      </c>
      <c r="C50" s="6">
        <v>34.979999999999997</v>
      </c>
      <c r="D50" s="6">
        <v>33.450000000000003</v>
      </c>
      <c r="E50" s="6">
        <v>25.51</v>
      </c>
      <c r="F50" s="6">
        <f>6*60+47.15</f>
        <v>407.15</v>
      </c>
    </row>
    <row r="51" spans="1:9" x14ac:dyDescent="0.2">
      <c r="A51" s="2"/>
      <c r="B51" s="2">
        <v>1.8021</v>
      </c>
      <c r="C51" s="2">
        <v>1.8932</v>
      </c>
      <c r="D51" s="2">
        <v>0.72150000000000003</v>
      </c>
      <c r="E51" s="2">
        <v>1.4332</v>
      </c>
      <c r="F51" s="2">
        <v>0.65559999999999996</v>
      </c>
    </row>
    <row r="52" spans="1:9" x14ac:dyDescent="0.2">
      <c r="A52" s="2"/>
      <c r="B52" s="1">
        <f>+TRUNC((B50*B51),0)</f>
        <v>679</v>
      </c>
      <c r="C52" s="8">
        <f>+TRUNC((C50*C51),2)</f>
        <v>66.22</v>
      </c>
      <c r="D52" s="8">
        <f>+ROUNDUP((D50*D51),2)</f>
        <v>24.14</v>
      </c>
      <c r="E52" s="8">
        <f>+TRUNC((E50*E51),2)</f>
        <v>36.56</v>
      </c>
      <c r="F52" s="8">
        <f>+ROUNDUP((F50*F51),2)</f>
        <v>266.93</v>
      </c>
    </row>
    <row r="53" spans="1:9" x14ac:dyDescent="0.2">
      <c r="A53" s="1"/>
      <c r="B53" s="7">
        <f>TRUNC(0.14354*(B52-220)^1.4)</f>
        <v>764</v>
      </c>
      <c r="C53" s="7">
        <f>TRUNC(10.14*(C52-7)^1.08)</f>
        <v>832</v>
      </c>
      <c r="D53" s="7">
        <f>TRUNC(5.8425*(38-D52)^1.81)</f>
        <v>681</v>
      </c>
      <c r="E53" s="7">
        <f>TRUNC(12.91*(E52-4)^1.1)</f>
        <v>595</v>
      </c>
      <c r="F53" s="7">
        <f>TRUNC(0.03768*(480-F52)^1.85)</f>
        <v>765</v>
      </c>
      <c r="G53" s="11">
        <f>B53+C53+D53+E53+F53</f>
        <v>3637</v>
      </c>
      <c r="H53" t="s">
        <v>39</v>
      </c>
    </row>
    <row r="54" spans="1:9" x14ac:dyDescent="0.2">
      <c r="B54" s="2"/>
    </row>
    <row r="55" spans="1:9" x14ac:dyDescent="0.2">
      <c r="A55" s="4">
        <v>80</v>
      </c>
      <c r="B55" s="7">
        <v>325</v>
      </c>
      <c r="C55" s="6">
        <v>23.95</v>
      </c>
      <c r="D55" s="6">
        <v>36.72</v>
      </c>
      <c r="E55" s="6">
        <v>21.48</v>
      </c>
      <c r="F55" s="6">
        <f>8*60+30.18</f>
        <v>510.18</v>
      </c>
    </row>
    <row r="56" spans="1:9" x14ac:dyDescent="0.2">
      <c r="A56" s="2"/>
      <c r="B56" s="2">
        <v>1.9876</v>
      </c>
      <c r="C56" s="2">
        <v>2.0952000000000002</v>
      </c>
      <c r="D56" s="2">
        <v>0.66969999999999996</v>
      </c>
      <c r="E56" s="2">
        <v>1.6440999999999999</v>
      </c>
      <c r="F56" s="2">
        <v>0.59199999999999997</v>
      </c>
    </row>
    <row r="57" spans="1:9" x14ac:dyDescent="0.2">
      <c r="A57" s="2"/>
      <c r="B57" s="1">
        <f>+TRUNC((B55*B56),0)</f>
        <v>645</v>
      </c>
      <c r="C57" s="8">
        <f>+TRUNC((C55*C56),2)</f>
        <v>50.18</v>
      </c>
      <c r="D57" s="8">
        <f>+ROUNDUP((D55*D56),2)</f>
        <v>24.6</v>
      </c>
      <c r="E57" s="8">
        <f>+TRUNC((E55*E56),2)</f>
        <v>35.31</v>
      </c>
      <c r="F57" s="8">
        <f>+ROUNDUP((F55*F56),2)</f>
        <v>302.02999999999997</v>
      </c>
    </row>
    <row r="58" spans="1:9" x14ac:dyDescent="0.2">
      <c r="A58" s="1"/>
      <c r="B58" s="7">
        <f>TRUNC(0.14354*(B57-220)^1.4)</f>
        <v>686</v>
      </c>
      <c r="C58" s="7">
        <f>TRUNC(10.14*(C57-7)^1.08)</f>
        <v>591</v>
      </c>
      <c r="D58" s="7">
        <f>TRUNC(5.8425*(38-D57)^1.81)</f>
        <v>640</v>
      </c>
      <c r="E58" s="7">
        <f>TRUNC(12.91*(E57-4)^1.1)</f>
        <v>570</v>
      </c>
      <c r="F58" s="7">
        <f>TRUNC(0.03768*(480-F57)^1.85)</f>
        <v>548</v>
      </c>
      <c r="G58" s="11">
        <f>B58+C58+D58+E58+F58</f>
        <v>3035</v>
      </c>
      <c r="H58" t="s">
        <v>33</v>
      </c>
    </row>
    <row r="59" spans="1:9" x14ac:dyDescent="0.2">
      <c r="B59" s="2"/>
    </row>
    <row r="60" spans="1:9" x14ac:dyDescent="0.2">
      <c r="A60" s="4">
        <v>85</v>
      </c>
      <c r="B60" s="7">
        <v>177</v>
      </c>
      <c r="C60" s="6">
        <v>18.48</v>
      </c>
      <c r="D60" s="6">
        <v>62.2</v>
      </c>
      <c r="E60" s="6">
        <v>20.71</v>
      </c>
      <c r="F60" s="6">
        <v>930</v>
      </c>
      <c r="I60" s="6"/>
    </row>
    <row r="61" spans="1:9" x14ac:dyDescent="0.2">
      <c r="A61" s="2"/>
      <c r="B61" s="2">
        <v>2.2158000000000002</v>
      </c>
      <c r="C61" s="2">
        <v>2.4378000000000002</v>
      </c>
      <c r="D61" s="2">
        <v>0.60509999999999997</v>
      </c>
      <c r="E61" s="2">
        <v>1.9508000000000001</v>
      </c>
      <c r="F61" s="2">
        <v>0.5121</v>
      </c>
    </row>
    <row r="62" spans="1:9" x14ac:dyDescent="0.2">
      <c r="A62" s="2"/>
      <c r="B62" s="1">
        <f>+TRUNC((B60*B61),0)</f>
        <v>392</v>
      </c>
      <c r="C62" s="8">
        <f>+TRUNC((C60*C61),2)</f>
        <v>45.05</v>
      </c>
      <c r="D62" s="8">
        <f>+ROUNDUP((D60*D61),2)</f>
        <v>37.64</v>
      </c>
      <c r="E62" s="8">
        <f>+TRUNC((E60*E61),2)</f>
        <v>40.4</v>
      </c>
      <c r="F62" s="8">
        <f>+ROUNDUP((F60*F61),2)</f>
        <v>476.26</v>
      </c>
    </row>
    <row r="63" spans="1:9" x14ac:dyDescent="0.2">
      <c r="A63" s="1"/>
      <c r="B63" s="7">
        <f>TRUNC(0.14354*(B62-220)^1.4)</f>
        <v>193</v>
      </c>
      <c r="C63" s="7">
        <f>TRUNC(10.14*(C62-7)^1.08)</f>
        <v>516</v>
      </c>
      <c r="D63" s="7">
        <f>TRUNC(5.8425*(38-D62)^1.81)</f>
        <v>0</v>
      </c>
      <c r="E63" s="7">
        <f>TRUNC(12.91*(E62-4)^1.1)</f>
        <v>673</v>
      </c>
      <c r="F63" s="7">
        <f>TRUNC(0.03768*(480-F62)^1.85)</f>
        <v>0</v>
      </c>
      <c r="G63" s="11">
        <f>B63+C63+D63+E63+F63</f>
        <v>1382</v>
      </c>
      <c r="H63" t="s">
        <v>34</v>
      </c>
    </row>
    <row r="64" spans="1:9" x14ac:dyDescent="0.2">
      <c r="B64" s="2"/>
    </row>
    <row r="65" spans="1:8" x14ac:dyDescent="0.2">
      <c r="A65" s="4">
        <v>90</v>
      </c>
      <c r="B65" s="7">
        <v>165</v>
      </c>
      <c r="C65" s="6">
        <v>9.15</v>
      </c>
      <c r="D65" s="6">
        <v>63.3</v>
      </c>
      <c r="E65" s="6">
        <v>7.4</v>
      </c>
      <c r="F65" s="6">
        <v>1160</v>
      </c>
    </row>
    <row r="66" spans="1:8" x14ac:dyDescent="0.2">
      <c r="A66" s="2"/>
      <c r="B66" s="2">
        <v>2.5030999999999999</v>
      </c>
      <c r="C66" s="2">
        <v>2.9137</v>
      </c>
      <c r="D66" s="2">
        <v>0.52310000000000001</v>
      </c>
      <c r="E66" s="2">
        <v>2.4401999999999999</v>
      </c>
      <c r="F66" s="2">
        <v>0.40949999999999998</v>
      </c>
    </row>
    <row r="67" spans="1:8" x14ac:dyDescent="0.2">
      <c r="A67" s="2"/>
      <c r="B67" s="1">
        <f>+TRUNC((B65*B66),0)</f>
        <v>413</v>
      </c>
      <c r="C67" s="8">
        <f>+TRUNC((C65*C66),2)</f>
        <v>26.66</v>
      </c>
      <c r="D67" s="8">
        <f>+ROUNDUP((D65*D66),2)</f>
        <v>33.119999999999997</v>
      </c>
      <c r="E67" s="8">
        <f>+TRUNC((E65*E66),2)</f>
        <v>18.05</v>
      </c>
      <c r="F67" s="8">
        <f>+ROUNDUP((F65*F66),2)</f>
        <v>475.02</v>
      </c>
    </row>
    <row r="68" spans="1:8" x14ac:dyDescent="0.2">
      <c r="A68" s="1"/>
      <c r="B68" s="7">
        <f>TRUNC(0.14354*(B67-220)^1.4)</f>
        <v>227</v>
      </c>
      <c r="C68" s="7">
        <f>TRUNC(10.14*(C67-7)^1.08)</f>
        <v>252</v>
      </c>
      <c r="D68" s="7">
        <f>TRUNC(5.8425*(38-D67)^1.81)</f>
        <v>102</v>
      </c>
      <c r="E68" s="7">
        <f>TRUNC(12.91*(E67-4)^1.1)</f>
        <v>236</v>
      </c>
      <c r="F68" s="7">
        <f>TRUNC(0.03768*(480-F67)^1.85)</f>
        <v>0</v>
      </c>
      <c r="G68" s="11">
        <f>B68+C68+D68+E68+F68</f>
        <v>817</v>
      </c>
      <c r="H68" t="s">
        <v>35</v>
      </c>
    </row>
    <row r="69" spans="1:8" x14ac:dyDescent="0.2">
      <c r="B69" s="2"/>
    </row>
    <row r="70" spans="1:8" x14ac:dyDescent="0.2">
      <c r="A70" s="4">
        <v>95</v>
      </c>
      <c r="B70" s="7">
        <v>165</v>
      </c>
      <c r="C70" s="6">
        <v>9.15</v>
      </c>
      <c r="D70" s="6">
        <v>63.3</v>
      </c>
      <c r="E70" s="6">
        <v>7.4</v>
      </c>
      <c r="F70" s="6">
        <v>1160</v>
      </c>
    </row>
    <row r="71" spans="1:8" x14ac:dyDescent="0.2">
      <c r="A71" s="2"/>
      <c r="B71" s="2">
        <v>2.8759999999999999</v>
      </c>
      <c r="C71" s="2">
        <v>3.6206</v>
      </c>
      <c r="D71" s="2">
        <v>0.41810000000000003</v>
      </c>
      <c r="E71" s="2">
        <v>3.3477999999999999</v>
      </c>
      <c r="F71" s="2">
        <v>0.27589999999999998</v>
      </c>
    </row>
    <row r="72" spans="1:8" x14ac:dyDescent="0.2">
      <c r="A72" s="2"/>
      <c r="B72" s="1">
        <f>+TRUNC((B70*B71),0)</f>
        <v>474</v>
      </c>
      <c r="C72" s="8">
        <f>+TRUNC((C70*C71),2)</f>
        <v>33.119999999999997</v>
      </c>
      <c r="D72" s="8">
        <f>+ROUNDUP((D70*D71),2)</f>
        <v>26.470000000000002</v>
      </c>
      <c r="E72" s="8">
        <f>+TRUNC((E70*E71),2)</f>
        <v>24.77</v>
      </c>
      <c r="F72" s="8">
        <f>+ROUNDUP((F70*F71),2)</f>
        <v>320.05</v>
      </c>
    </row>
    <row r="73" spans="1:8" x14ac:dyDescent="0.2">
      <c r="A73" s="1"/>
      <c r="B73" s="7">
        <f>TRUNC(0.14354*(B72-220)^1.4)</f>
        <v>333</v>
      </c>
      <c r="C73" s="7">
        <f>TRUNC(10.14*(C72-7)^1.08)</f>
        <v>343</v>
      </c>
      <c r="D73" s="7">
        <f>TRUNC(5.8425*(38-D72)^1.81)</f>
        <v>488</v>
      </c>
      <c r="E73" s="7">
        <f>TRUNC(12.91*(E72-4)^1.1)</f>
        <v>363</v>
      </c>
      <c r="F73" s="7">
        <f>TRUNC(0.03768*(480-F72)^1.85)</f>
        <v>450</v>
      </c>
      <c r="G73" s="11">
        <f>B73+C73+D73+E73+F73</f>
        <v>1977</v>
      </c>
    </row>
    <row r="74" spans="1:8" x14ac:dyDescent="0.2">
      <c r="B74" s="2"/>
    </row>
    <row r="75" spans="1:8" x14ac:dyDescent="0.2">
      <c r="A75" s="4" t="s">
        <v>9</v>
      </c>
      <c r="B75" s="7">
        <v>165</v>
      </c>
      <c r="C75" s="6">
        <v>9.15</v>
      </c>
      <c r="D75" s="6">
        <v>63.3</v>
      </c>
      <c r="E75" s="6">
        <v>7.4</v>
      </c>
      <c r="F75" s="6">
        <v>1160</v>
      </c>
    </row>
    <row r="76" spans="1:8" x14ac:dyDescent="0.2">
      <c r="A76" s="2"/>
      <c r="B76" s="34">
        <v>6.4391999999999996</v>
      </c>
      <c r="C76" s="34">
        <v>8.7034000000000002</v>
      </c>
      <c r="D76" s="34">
        <v>0.26679999999999998</v>
      </c>
      <c r="E76" s="2">
        <v>5.6116000000000001</v>
      </c>
      <c r="F76" s="34">
        <v>0.1908</v>
      </c>
    </row>
    <row r="77" spans="1:8" x14ac:dyDescent="0.2">
      <c r="A77" s="2"/>
      <c r="B77" s="1">
        <f>+TRUNC((B75*B76),0)</f>
        <v>1062</v>
      </c>
      <c r="C77" s="8">
        <f>+TRUNC((C75*C76),2)</f>
        <v>79.63</v>
      </c>
      <c r="D77" s="8">
        <f>+ROUNDUP((D75*D76),2)</f>
        <v>16.89</v>
      </c>
      <c r="E77" s="8">
        <f>+TRUNC((E75*E76),2)</f>
        <v>41.52</v>
      </c>
      <c r="F77" s="8">
        <f>+ROUNDUP((F75*F76),2)</f>
        <v>221.32999999999998</v>
      </c>
    </row>
    <row r="78" spans="1:8" x14ac:dyDescent="0.2">
      <c r="A78" s="1"/>
      <c r="B78" s="7">
        <f>TRUNC(0.14354*(B77-220)^1.4)</f>
        <v>1788</v>
      </c>
      <c r="C78" s="7">
        <f>TRUNC(10.14*(C77-7)^1.08)</f>
        <v>1037</v>
      </c>
      <c r="D78" s="7">
        <f>TRUNC(5.8425*(38-D77)^1.81)</f>
        <v>1458</v>
      </c>
      <c r="E78" s="7">
        <f>TRUNC(12.91*(E77-4)^1.1)</f>
        <v>696</v>
      </c>
      <c r="F78" s="7">
        <f>TRUNC(0.03768*(480-F77)^1.85)</f>
        <v>1095</v>
      </c>
      <c r="G78" s="11"/>
    </row>
    <row r="79" spans="1:8" x14ac:dyDescent="0.2">
      <c r="B79" s="2"/>
    </row>
    <row r="80" spans="1:8" x14ac:dyDescent="0.2">
      <c r="B80" s="2"/>
    </row>
    <row r="81" spans="2:6" x14ac:dyDescent="0.2">
      <c r="B81" s="2"/>
    </row>
    <row r="82" spans="2:6" x14ac:dyDescent="0.2">
      <c r="B82" s="2"/>
    </row>
    <row r="83" spans="2:6" x14ac:dyDescent="0.2">
      <c r="B83" s="2"/>
    </row>
    <row r="84" spans="2:6" x14ac:dyDescent="0.2">
      <c r="B84" s="2"/>
    </row>
    <row r="85" spans="2:6" x14ac:dyDescent="0.2">
      <c r="B85" s="2"/>
    </row>
    <row r="86" spans="2:6" x14ac:dyDescent="0.2">
      <c r="B86" s="2"/>
    </row>
    <row r="87" spans="2:6" x14ac:dyDescent="0.2">
      <c r="B87" s="2"/>
    </row>
    <row r="88" spans="2:6" x14ac:dyDescent="0.2">
      <c r="B88" s="2"/>
    </row>
    <row r="89" spans="2:6" x14ac:dyDescent="0.2">
      <c r="B89" s="2"/>
      <c r="C89" s="11"/>
      <c r="E89" s="11"/>
      <c r="F89" s="11"/>
    </row>
    <row r="90" spans="2:6" x14ac:dyDescent="0.2">
      <c r="C90" s="11"/>
      <c r="E90" s="11"/>
      <c r="F90" s="11"/>
    </row>
    <row r="92" spans="2:6" x14ac:dyDescent="0.2">
      <c r="E92" s="6"/>
    </row>
  </sheetData>
  <phoneticPr fontId="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5"/>
  <sheetViews>
    <sheetView workbookViewId="0">
      <pane ySplit="1500" topLeftCell="A10" activePane="bottomLeft"/>
      <selection activeCell="A3" sqref="A3"/>
      <selection pane="bottomLeft" activeCell="A4" sqref="A4"/>
    </sheetView>
  </sheetViews>
  <sheetFormatPr defaultRowHeight="12.75" x14ac:dyDescent="0.2"/>
  <cols>
    <col min="2" max="2" width="13.5703125" customWidth="1"/>
    <col min="3" max="3" width="10.5703125" customWidth="1"/>
    <col min="4" max="4" width="12" customWidth="1"/>
    <col min="5" max="5" width="13.5703125" customWidth="1"/>
    <col min="6" max="6" width="11.42578125" customWidth="1"/>
    <col min="7" max="7" width="12.140625" customWidth="1"/>
    <col min="8" max="8" width="13.85546875" customWidth="1"/>
    <col min="9" max="9" width="12.85546875" customWidth="1"/>
    <col min="10" max="10" width="12" customWidth="1"/>
  </cols>
  <sheetData>
    <row r="1" spans="1:15" ht="15.75" x14ac:dyDescent="0.25">
      <c r="A1" s="13" t="s">
        <v>45</v>
      </c>
    </row>
    <row r="3" spans="1:15" x14ac:dyDescent="0.2">
      <c r="B3" s="15" t="s">
        <v>10</v>
      </c>
      <c r="C3" s="23" t="s">
        <v>11</v>
      </c>
    </row>
    <row r="4" spans="1:15" x14ac:dyDescent="0.2">
      <c r="B4" s="21" t="s">
        <v>15</v>
      </c>
      <c r="C4" s="24" t="s">
        <v>3</v>
      </c>
      <c r="D4" s="21" t="s">
        <v>1</v>
      </c>
      <c r="E4" s="21" t="s">
        <v>2</v>
      </c>
      <c r="F4" s="21" t="s">
        <v>4</v>
      </c>
      <c r="G4" s="21" t="s">
        <v>6</v>
      </c>
      <c r="H4" t="s">
        <v>7</v>
      </c>
      <c r="I4" t="s">
        <v>8</v>
      </c>
    </row>
    <row r="5" spans="1:15" x14ac:dyDescent="0.2">
      <c r="C5" s="23"/>
      <c r="D5" s="2"/>
      <c r="E5" s="2"/>
      <c r="F5" s="2"/>
      <c r="G5" s="2"/>
    </row>
    <row r="6" spans="1:15" x14ac:dyDescent="0.2">
      <c r="A6" s="4">
        <v>30</v>
      </c>
      <c r="B6" s="6">
        <v>18.5</v>
      </c>
      <c r="C6" s="25">
        <v>29.66</v>
      </c>
      <c r="D6" s="7">
        <v>148</v>
      </c>
      <c r="E6" s="6">
        <v>8.65</v>
      </c>
      <c r="F6" s="7">
        <v>472</v>
      </c>
      <c r="G6" s="6">
        <f>2*60+32.62</f>
        <v>152.62</v>
      </c>
      <c r="H6" s="2"/>
    </row>
    <row r="7" spans="1:15" x14ac:dyDescent="0.2">
      <c r="A7" s="2"/>
      <c r="B7" s="2">
        <v>1</v>
      </c>
      <c r="C7" s="26">
        <v>1</v>
      </c>
      <c r="D7" s="2">
        <v>1</v>
      </c>
      <c r="E7" s="2">
        <v>1</v>
      </c>
      <c r="F7" s="2">
        <v>1</v>
      </c>
      <c r="G7" s="2">
        <v>1</v>
      </c>
      <c r="H7" s="2"/>
    </row>
    <row r="8" spans="1:15" x14ac:dyDescent="0.2">
      <c r="A8" s="2"/>
      <c r="B8" s="8">
        <f>+ROUNDUP((B6*B7),2)</f>
        <v>18.5</v>
      </c>
      <c r="C8" s="27">
        <f>+ROUNDUP((C6*C7),2)</f>
        <v>29.66</v>
      </c>
      <c r="D8" s="1">
        <f>+TRUNC((D6*D7),0)</f>
        <v>148</v>
      </c>
      <c r="E8" s="8">
        <f>+TRUNC((E6*E7),2)</f>
        <v>8.65</v>
      </c>
      <c r="F8" s="1">
        <f>+TRUNC((F6*F7),0)</f>
        <v>472</v>
      </c>
      <c r="G8" s="8">
        <f>+ROUNDUP((G6*G7),2)</f>
        <v>152.62</v>
      </c>
      <c r="H8" s="10"/>
    </row>
    <row r="9" spans="1:15" x14ac:dyDescent="0.2">
      <c r="A9" s="1"/>
      <c r="B9" s="7">
        <f>TRUNC(9.23076*(26.7-B8)^1.835)</f>
        <v>438</v>
      </c>
      <c r="C9" s="28">
        <f>TRUNC(4.99087*(42.5-C8)^1.81)</f>
        <v>506</v>
      </c>
      <c r="D9" s="7">
        <f>TRUNC(1.84523*(D8-75)^1.348)</f>
        <v>599</v>
      </c>
      <c r="E9" s="7">
        <f>TRUNC(56.0211*(E8-1.5)^1.05)</f>
        <v>441</v>
      </c>
      <c r="F9" s="7">
        <f>TRUNC(0.188807*(F8-210)^1.41)</f>
        <v>485</v>
      </c>
      <c r="G9" s="7">
        <f>TRUNC(0.11193*(254-G8)^1.88)</f>
        <v>660</v>
      </c>
      <c r="H9" s="7">
        <f>B9+D9+E9+F9+G9</f>
        <v>2623</v>
      </c>
      <c r="I9" s="29">
        <f>C9+D9+E9+F9+G9</f>
        <v>2691</v>
      </c>
    </row>
    <row r="10" spans="1:15" x14ac:dyDescent="0.2">
      <c r="C10" s="23"/>
      <c r="D10" s="2"/>
      <c r="E10" s="2"/>
      <c r="F10" s="2"/>
      <c r="G10" s="2"/>
    </row>
    <row r="11" spans="1:15" x14ac:dyDescent="0.2">
      <c r="A11" s="4">
        <v>35</v>
      </c>
      <c r="B11" s="6">
        <v>18.5</v>
      </c>
      <c r="C11" s="25">
        <v>29.66</v>
      </c>
      <c r="D11" s="7">
        <v>148</v>
      </c>
      <c r="E11" s="6">
        <v>8.65</v>
      </c>
      <c r="F11" s="7">
        <v>472</v>
      </c>
      <c r="G11" s="6">
        <f>2*60+32.62</f>
        <v>152.62</v>
      </c>
      <c r="H11" s="2"/>
      <c r="J11" s="6"/>
      <c r="K11" s="6"/>
      <c r="L11" s="7"/>
      <c r="M11" s="6"/>
      <c r="N11" s="7"/>
      <c r="O11" s="6"/>
    </row>
    <row r="12" spans="1:15" x14ac:dyDescent="0.2">
      <c r="A12" s="2"/>
      <c r="B12" s="2">
        <v>0.98519999999999996</v>
      </c>
      <c r="C12" s="26">
        <v>0.97019999999999995</v>
      </c>
      <c r="D12" s="2">
        <v>1.0511999999999999</v>
      </c>
      <c r="E12" s="2">
        <v>1.0367999999999999</v>
      </c>
      <c r="F12" s="2">
        <v>1.05</v>
      </c>
      <c r="G12" s="2">
        <v>0.99509999999999998</v>
      </c>
      <c r="H12" s="2"/>
      <c r="J12" s="9"/>
    </row>
    <row r="13" spans="1:15" x14ac:dyDescent="0.2">
      <c r="A13" s="2"/>
      <c r="B13" s="8">
        <f>+ROUNDUP((B11*B12),2)</f>
        <v>18.23</v>
      </c>
      <c r="C13" s="27">
        <f>+ROUNDUP((C11*C12),2)</f>
        <v>28.78</v>
      </c>
      <c r="D13" s="1">
        <f>+TRUNC((D11*D12),0)</f>
        <v>155</v>
      </c>
      <c r="E13" s="8">
        <f>+TRUNC((E11*E12),2)</f>
        <v>8.9600000000000009</v>
      </c>
      <c r="F13" s="1">
        <f>+TRUNC((F11*F12),0)</f>
        <v>495</v>
      </c>
      <c r="G13" s="8">
        <f>+ROUNDUP((G11*G12),2)</f>
        <v>151.88</v>
      </c>
      <c r="H13" s="10" t="s">
        <v>24</v>
      </c>
      <c r="J13" s="10"/>
    </row>
    <row r="14" spans="1:15" x14ac:dyDescent="0.2">
      <c r="A14" s="1"/>
      <c r="B14" s="7">
        <f>TRUNC(9.23076*(26.7-B13)^1.835)</f>
        <v>465</v>
      </c>
      <c r="C14" s="28">
        <f>TRUNC(4.99087*(42.5-C13)^1.81)</f>
        <v>571</v>
      </c>
      <c r="D14" s="7">
        <f>TRUNC(1.84523*(D13-75)^1.348)</f>
        <v>678</v>
      </c>
      <c r="E14" s="7">
        <f>TRUNC(56.0211*(E13-1.5)^1.05)</f>
        <v>462</v>
      </c>
      <c r="F14" s="7">
        <f>TRUNC(0.188807*(F13-210)^1.41)</f>
        <v>546</v>
      </c>
      <c r="G14" s="7">
        <f>TRUNC(0.11193*(254-G13)^1.88)</f>
        <v>670</v>
      </c>
      <c r="H14" s="7">
        <f>B14+D14+E14+F14+G14</f>
        <v>2821</v>
      </c>
      <c r="I14" s="29">
        <f>C14+D14+E14+F14+G14</f>
        <v>2927</v>
      </c>
    </row>
    <row r="15" spans="1:15" x14ac:dyDescent="0.2">
      <c r="B15" s="12"/>
      <c r="C15" s="24"/>
      <c r="D15" s="4"/>
      <c r="E15" s="4"/>
      <c r="F15" s="4"/>
      <c r="G15" s="4"/>
      <c r="H15" s="4"/>
    </row>
    <row r="16" spans="1:15" x14ac:dyDescent="0.2">
      <c r="A16" s="4">
        <v>40</v>
      </c>
      <c r="B16" s="6">
        <v>12.74</v>
      </c>
      <c r="C16" s="25">
        <v>29.01</v>
      </c>
      <c r="D16" s="7">
        <v>157</v>
      </c>
      <c r="E16" s="6">
        <v>7.16</v>
      </c>
      <c r="F16" s="7">
        <v>513</v>
      </c>
      <c r="G16" s="6">
        <f>2*60+55.7</f>
        <v>175.7</v>
      </c>
      <c r="H16" s="2"/>
    </row>
    <row r="17" spans="1:15" x14ac:dyDescent="0.2">
      <c r="A17" s="2"/>
      <c r="B17" s="2">
        <v>1.1834</v>
      </c>
      <c r="C17" s="26">
        <v>0.93420000000000003</v>
      </c>
      <c r="D17" s="2">
        <v>1.1035999999999999</v>
      </c>
      <c r="E17" s="2">
        <v>1.1100000000000001</v>
      </c>
      <c r="F17" s="2">
        <v>1.1101000000000001</v>
      </c>
      <c r="G17" s="2">
        <v>0.95369999999999999</v>
      </c>
      <c r="H17" s="2"/>
    </row>
    <row r="18" spans="1:15" x14ac:dyDescent="0.2">
      <c r="A18" s="2"/>
      <c r="B18" s="8">
        <f>+ROUNDUP((B16*B17),2)</f>
        <v>15.08</v>
      </c>
      <c r="C18" s="27">
        <f>+ROUNDUP((C16*C17),2)</f>
        <v>27.110000000000003</v>
      </c>
      <c r="D18" s="1">
        <f>+TRUNC((D16*D17),0)</f>
        <v>173</v>
      </c>
      <c r="E18" s="8">
        <f>+TRUNC((E16*E17),2)</f>
        <v>7.94</v>
      </c>
      <c r="F18" s="1">
        <f>+TRUNC((F16*F17),0)</f>
        <v>569</v>
      </c>
      <c r="G18" s="8">
        <f>+ROUNDUP((G16*G17),2)</f>
        <v>167.57</v>
      </c>
      <c r="H18" s="2" t="s">
        <v>36</v>
      </c>
    </row>
    <row r="19" spans="1:15" x14ac:dyDescent="0.2">
      <c r="A19" s="7"/>
      <c r="B19" s="7">
        <f>TRUNC(9.23076*(26.7-B18)^1.835)</f>
        <v>831</v>
      </c>
      <c r="C19" s="28">
        <f>TRUNC(4.99087*(42.5-C18)^1.81)</f>
        <v>703</v>
      </c>
      <c r="D19" s="7">
        <f>TRUNC(1.84523*(D18-75)^1.348)</f>
        <v>891</v>
      </c>
      <c r="E19" s="7">
        <f>TRUNC(56.0211*(E18-1.5)^1.05)</f>
        <v>395</v>
      </c>
      <c r="F19" s="7">
        <f>TRUNC(0.188807*(F18-210)^1.41)</f>
        <v>756</v>
      </c>
      <c r="G19" s="7">
        <f>TRUNC(0.11193*(254-G18)^1.88)</f>
        <v>489</v>
      </c>
      <c r="H19" s="7">
        <f>B19+D19+E19+F19+G19</f>
        <v>3362</v>
      </c>
      <c r="I19" s="29">
        <f>C19+D19+E19+F19+G19</f>
        <v>3234</v>
      </c>
    </row>
    <row r="20" spans="1:15" x14ac:dyDescent="0.2">
      <c r="A20" s="5"/>
      <c r="B20" s="12"/>
      <c r="C20" s="24"/>
      <c r="D20" s="4"/>
      <c r="E20" s="4"/>
      <c r="F20" s="2"/>
      <c r="G20" s="4"/>
      <c r="H20" s="4"/>
    </row>
    <row r="21" spans="1:15" x14ac:dyDescent="0.2">
      <c r="A21" s="4">
        <v>45</v>
      </c>
      <c r="B21" s="6">
        <v>12.84</v>
      </c>
      <c r="C21" s="25">
        <v>30.44</v>
      </c>
      <c r="D21" s="7">
        <v>149</v>
      </c>
      <c r="E21" s="6">
        <v>9.92</v>
      </c>
      <c r="F21" s="7">
        <v>481</v>
      </c>
      <c r="G21" s="6">
        <f>2*60+56.2</f>
        <v>176.2</v>
      </c>
      <c r="H21" s="2"/>
      <c r="I21" s="6"/>
      <c r="J21" s="6"/>
      <c r="L21" s="7"/>
      <c r="M21" s="6"/>
      <c r="N21" s="7"/>
      <c r="O21" s="6"/>
    </row>
    <row r="22" spans="1:15" x14ac:dyDescent="0.2">
      <c r="A22" s="2"/>
      <c r="B22" s="2">
        <v>1.0913999999999999</v>
      </c>
      <c r="C22" s="26">
        <v>0.8982</v>
      </c>
      <c r="D22" s="2">
        <v>1.1614</v>
      </c>
      <c r="E22" s="2">
        <v>1.1942999999999999</v>
      </c>
      <c r="F22" s="2">
        <v>1.1776</v>
      </c>
      <c r="G22" s="2">
        <v>0.9123</v>
      </c>
      <c r="H22" s="10"/>
    </row>
    <row r="23" spans="1:15" x14ac:dyDescent="0.2">
      <c r="A23" s="2"/>
      <c r="B23" s="8">
        <f>+ROUNDUP((B21*B22),2)</f>
        <v>14.02</v>
      </c>
      <c r="C23" s="27">
        <f>+ROUNDUP((C21*C22),2)</f>
        <v>27.35</v>
      </c>
      <c r="D23" s="1">
        <f>+TRUNC((D21*D22),0)</f>
        <v>173</v>
      </c>
      <c r="E23" s="8">
        <f>+TRUNC((E21*E22),2)</f>
        <v>11.84</v>
      </c>
      <c r="F23" s="1">
        <f>+TRUNC((F21*F22),0)</f>
        <v>566</v>
      </c>
      <c r="G23" s="8">
        <f>+ROUNDUP((G21*G22),2)</f>
        <v>160.75</v>
      </c>
      <c r="H23" s="10" t="s">
        <v>42</v>
      </c>
    </row>
    <row r="24" spans="1:15" x14ac:dyDescent="0.2">
      <c r="A24" s="1"/>
      <c r="B24" s="7">
        <f>TRUNC(9.23076*(26.7-B23)^1.835)</f>
        <v>976</v>
      </c>
      <c r="C24" s="28">
        <f>TRUNC(4.99087*(42.5-C23)^1.81)</f>
        <v>683</v>
      </c>
      <c r="D24" s="7">
        <f>TRUNC(1.84523*(D23-75)^1.348)</f>
        <v>891</v>
      </c>
      <c r="E24" s="7">
        <f>TRUNC(56.0211*(E23-1.5)^1.05)</f>
        <v>651</v>
      </c>
      <c r="F24" s="7">
        <f>TRUNC(0.188807*(F23-210)^1.41)</f>
        <v>747</v>
      </c>
      <c r="G24" s="7">
        <f>TRUNC(0.11193*(254-G23)^1.88)</f>
        <v>564</v>
      </c>
      <c r="H24" s="7">
        <f>B24+D24+E24+F24+G24</f>
        <v>3829</v>
      </c>
      <c r="I24" s="29">
        <f>C24+D24+E24+F24+G24</f>
        <v>3536</v>
      </c>
    </row>
    <row r="25" spans="1:15" x14ac:dyDescent="0.2">
      <c r="B25" s="12"/>
      <c r="C25" s="26"/>
      <c r="D25" s="2"/>
      <c r="E25" s="2"/>
      <c r="F25" s="2"/>
      <c r="G25" s="2"/>
      <c r="H25" s="2"/>
    </row>
    <row r="26" spans="1:15" x14ac:dyDescent="0.2">
      <c r="A26" s="4">
        <v>50</v>
      </c>
      <c r="B26" s="6">
        <v>15.74</v>
      </c>
      <c r="C26" s="25">
        <v>30.84</v>
      </c>
      <c r="D26" s="7">
        <v>127</v>
      </c>
      <c r="E26" s="6">
        <v>8.2799999999999994</v>
      </c>
      <c r="F26" s="7">
        <v>419</v>
      </c>
      <c r="G26" s="6">
        <f>3*60+12.49</f>
        <v>192.49</v>
      </c>
      <c r="H26" s="2"/>
    </row>
    <row r="27" spans="1:15" x14ac:dyDescent="0.2">
      <c r="A27" s="2"/>
      <c r="B27" s="2">
        <v>1.0964</v>
      </c>
      <c r="C27" s="26">
        <v>0.86219999999999997</v>
      </c>
      <c r="D27" s="2">
        <v>1.2256</v>
      </c>
      <c r="E27" s="2">
        <v>1.2606999999999999</v>
      </c>
      <c r="F27" s="2">
        <v>1.2538</v>
      </c>
      <c r="G27" s="2">
        <v>0.87090000000000001</v>
      </c>
      <c r="H27" s="2"/>
    </row>
    <row r="28" spans="1:15" x14ac:dyDescent="0.2">
      <c r="A28" s="2"/>
      <c r="B28" s="8">
        <f>+ROUNDUP((B26*B27),2)</f>
        <v>17.260000000000002</v>
      </c>
      <c r="C28" s="27">
        <f>+ROUNDUP((C26*C27),2)</f>
        <v>26.6</v>
      </c>
      <c r="D28" s="1">
        <f>+TRUNC((D26*D27),0)</f>
        <v>155</v>
      </c>
      <c r="E28" s="8">
        <f>+TRUNC((E26*E27),2)</f>
        <v>10.43</v>
      </c>
      <c r="F28" s="1">
        <f>+TRUNC((F26*F27),0)</f>
        <v>525</v>
      </c>
      <c r="G28" s="8">
        <f>+ROUNDUP((G26*G27),2)</f>
        <v>167.64</v>
      </c>
      <c r="H28" s="10" t="s">
        <v>38</v>
      </c>
    </row>
    <row r="29" spans="1:15" x14ac:dyDescent="0.2">
      <c r="A29" s="1"/>
      <c r="B29" s="7">
        <f>TRUNC(9.23076*(26.7-B28)^1.835)</f>
        <v>567</v>
      </c>
      <c r="C29" s="28">
        <f>TRUNC(4.99087*(42.5-C28)^1.81)</f>
        <v>745</v>
      </c>
      <c r="D29" s="7">
        <f>TRUNC(1.84523*(D28-75)^1.348)</f>
        <v>678</v>
      </c>
      <c r="E29" s="7">
        <f>TRUNC(56.0211*(E28-1.5)^1.05)</f>
        <v>558</v>
      </c>
      <c r="F29" s="7">
        <f>TRUNC(0.188807*(F28-210)^1.41)</f>
        <v>628</v>
      </c>
      <c r="G29" s="7">
        <f>TRUNC(0.11193*(254-G28)^1.88)</f>
        <v>488</v>
      </c>
      <c r="H29" s="7">
        <f>B29+D29+E29+F29+G29</f>
        <v>2919</v>
      </c>
      <c r="I29" s="29">
        <f>C29+D29+E29+F29+G29</f>
        <v>3097</v>
      </c>
    </row>
    <row r="30" spans="1:15" x14ac:dyDescent="0.2">
      <c r="B30" s="12"/>
      <c r="C30" s="26"/>
      <c r="D30" s="2"/>
      <c r="E30" s="2"/>
      <c r="F30" s="2"/>
      <c r="G30" s="2"/>
      <c r="H30" s="4"/>
    </row>
    <row r="31" spans="1:15" x14ac:dyDescent="0.2">
      <c r="A31" s="4">
        <v>55</v>
      </c>
      <c r="B31" s="6">
        <v>15.42</v>
      </c>
      <c r="C31" s="25">
        <v>31.4</v>
      </c>
      <c r="D31" s="7">
        <v>133</v>
      </c>
      <c r="E31" s="6">
        <v>8.9600000000000009</v>
      </c>
      <c r="F31" s="7">
        <v>417</v>
      </c>
      <c r="G31" s="6">
        <f>2*60+56.97</f>
        <v>176.97</v>
      </c>
      <c r="H31" s="4"/>
      <c r="J31" s="6"/>
      <c r="K31" s="6"/>
      <c r="L31" s="7"/>
      <c r="M31" s="6"/>
      <c r="N31" s="7"/>
      <c r="O31" s="6"/>
    </row>
    <row r="32" spans="1:15" x14ac:dyDescent="0.2">
      <c r="A32" s="2"/>
      <c r="B32" s="2">
        <v>1.0044</v>
      </c>
      <c r="C32" s="26">
        <v>0.82620000000000005</v>
      </c>
      <c r="D32" s="2">
        <v>1.2972999999999999</v>
      </c>
      <c r="E32" s="2">
        <v>1.3706</v>
      </c>
      <c r="F32" s="2">
        <v>1.3405</v>
      </c>
      <c r="G32" s="2">
        <v>0.82950000000000002</v>
      </c>
      <c r="H32" s="4"/>
    </row>
    <row r="33" spans="1:15" x14ac:dyDescent="0.2">
      <c r="A33" s="2"/>
      <c r="B33" s="8">
        <f>+ROUNDUP((B31*B32),2)</f>
        <v>15.49</v>
      </c>
      <c r="C33" s="27">
        <f>+ROUNDUP((C31*C32),2)</f>
        <v>25.950000000000003</v>
      </c>
      <c r="D33" s="1">
        <f>+TRUNC((D31*D32),0)</f>
        <v>172</v>
      </c>
      <c r="E33" s="8">
        <f>+TRUNC((E31*E32),2)</f>
        <v>12.28</v>
      </c>
      <c r="F33" s="1">
        <f>+TRUNC((F31*F32),0)</f>
        <v>558</v>
      </c>
      <c r="G33" s="8">
        <f>+ROUNDUP((G31*G32),2)</f>
        <v>146.79999999999998</v>
      </c>
      <c r="H33" s="10" t="s">
        <v>25</v>
      </c>
    </row>
    <row r="34" spans="1:15" x14ac:dyDescent="0.2">
      <c r="A34" s="1"/>
      <c r="B34" s="7">
        <f>TRUNC(9.23076*(26.7-B33)^1.835)</f>
        <v>778</v>
      </c>
      <c r="C34" s="28">
        <f>TRUNC(4.99087*(42.5-C33)^1.81)</f>
        <v>802</v>
      </c>
      <c r="D34" s="7">
        <f>TRUNC(1.84523*(D33-75)^1.348)</f>
        <v>879</v>
      </c>
      <c r="E34" s="7">
        <f>TRUNC(56.0211*(E33-1.5)^1.05)</f>
        <v>680</v>
      </c>
      <c r="F34" s="7">
        <f>TRUNC(0.188807*(F33-210)^1.41)</f>
        <v>723</v>
      </c>
      <c r="G34" s="7">
        <f>TRUNC(0.11193*(254-G33)^1.88)</f>
        <v>734</v>
      </c>
      <c r="H34" s="7">
        <f>B34+D34+E34+F34+G34</f>
        <v>3794</v>
      </c>
      <c r="I34" s="29">
        <f>C34+D34+E34+F34+G34</f>
        <v>3818</v>
      </c>
    </row>
    <row r="35" spans="1:15" x14ac:dyDescent="0.2">
      <c r="A35" t="s">
        <v>0</v>
      </c>
      <c r="B35" s="12"/>
      <c r="C35" s="26"/>
      <c r="D35" s="2"/>
      <c r="E35" s="2"/>
      <c r="F35" s="2"/>
      <c r="G35" s="2"/>
      <c r="H35" s="4"/>
    </row>
    <row r="36" spans="1:15" x14ac:dyDescent="0.2">
      <c r="A36" s="4">
        <v>60</v>
      </c>
      <c r="B36" s="6">
        <v>14.36</v>
      </c>
      <c r="C36" s="25">
        <v>31.95</v>
      </c>
      <c r="D36" s="7">
        <v>131</v>
      </c>
      <c r="E36" s="6">
        <v>7.99</v>
      </c>
      <c r="F36" s="7">
        <v>404</v>
      </c>
      <c r="G36" s="6">
        <f>2*60+56.79</f>
        <v>176.79</v>
      </c>
      <c r="H36" s="4"/>
    </row>
    <row r="37" spans="1:15" x14ac:dyDescent="0.2">
      <c r="A37" s="2"/>
      <c r="B37" s="2">
        <v>0.99239999999999995</v>
      </c>
      <c r="C37" s="26">
        <v>0.79020000000000001</v>
      </c>
      <c r="D37" s="2">
        <v>1.3778999999999999</v>
      </c>
      <c r="E37" s="2">
        <v>1.5015000000000001</v>
      </c>
      <c r="F37" s="2">
        <v>1.44</v>
      </c>
      <c r="G37" s="2">
        <v>0.78480000000000005</v>
      </c>
      <c r="H37" s="4"/>
    </row>
    <row r="38" spans="1:15" x14ac:dyDescent="0.2">
      <c r="A38" s="2"/>
      <c r="B38" s="8">
        <f>+ROUNDUP((B36*B37),2)</f>
        <v>14.26</v>
      </c>
      <c r="C38" s="27">
        <f>+ROUNDUP((C36*C37),2)</f>
        <v>25.25</v>
      </c>
      <c r="D38" s="1">
        <f>+TRUNC((D36*D37),0)</f>
        <v>180</v>
      </c>
      <c r="E38" s="8">
        <f>+TRUNC((E36*E37),2)</f>
        <v>11.99</v>
      </c>
      <c r="F38" s="1">
        <f>+TRUNC((F36*F37),0)</f>
        <v>581</v>
      </c>
      <c r="G38" s="8">
        <f>+ROUNDUP((G36*G37),2)</f>
        <v>138.75</v>
      </c>
      <c r="H38" s="10" t="s">
        <v>25</v>
      </c>
    </row>
    <row r="39" spans="1:15" x14ac:dyDescent="0.2">
      <c r="A39" s="1"/>
      <c r="B39" s="7">
        <f>TRUNC(9.23076*(26.7-B38)^1.835)</f>
        <v>942</v>
      </c>
      <c r="C39" s="28">
        <f>TRUNC(4.99087*(42.5-C38)^1.81)</f>
        <v>864</v>
      </c>
      <c r="D39" s="7">
        <f>TRUNC(1.84523*(D38-75)^1.348)</f>
        <v>978</v>
      </c>
      <c r="E39" s="7">
        <f>TRUNC(56.0211*(E38-1.5)^1.05)</f>
        <v>660</v>
      </c>
      <c r="F39" s="7">
        <f>TRUNC(0.188807*(F38-210)^1.41)</f>
        <v>792</v>
      </c>
      <c r="G39" s="7">
        <f>TRUNC(0.11193*(254-G38)^1.88)</f>
        <v>841</v>
      </c>
      <c r="H39" s="7">
        <f>B39+D39+E39+F39+G39</f>
        <v>4213</v>
      </c>
      <c r="I39" s="29">
        <f>C39+D39+E39+F39+G39</f>
        <v>4135</v>
      </c>
    </row>
    <row r="40" spans="1:15" x14ac:dyDescent="0.2">
      <c r="B40" s="12"/>
      <c r="C40" s="26"/>
      <c r="D40" s="2"/>
      <c r="E40" s="2"/>
      <c r="F40" s="2"/>
      <c r="G40" s="2"/>
      <c r="H40" s="4"/>
    </row>
    <row r="41" spans="1:15" x14ac:dyDescent="0.2">
      <c r="A41" s="4">
        <v>65</v>
      </c>
      <c r="B41" s="6">
        <v>15.44</v>
      </c>
      <c r="C41" s="25">
        <v>35.200000000000003</v>
      </c>
      <c r="D41" s="7">
        <v>121</v>
      </c>
      <c r="E41" s="6">
        <v>7.84</v>
      </c>
      <c r="F41" s="7">
        <v>376</v>
      </c>
      <c r="G41" s="6">
        <f>3*60+15.24</f>
        <v>195.24</v>
      </c>
      <c r="H41" s="4"/>
    </row>
    <row r="42" spans="1:15" x14ac:dyDescent="0.2">
      <c r="A42" s="2"/>
      <c r="B42" s="2">
        <v>0.90039999999999998</v>
      </c>
      <c r="C42" s="26">
        <v>0.75419999999999998</v>
      </c>
      <c r="D42" s="2">
        <v>1.4708000000000001</v>
      </c>
      <c r="E42" s="2">
        <v>1.66</v>
      </c>
      <c r="F42" s="2">
        <v>1.5557000000000001</v>
      </c>
      <c r="G42" s="2">
        <v>0.73419999999999996</v>
      </c>
      <c r="H42" s="4"/>
    </row>
    <row r="43" spans="1:15" x14ac:dyDescent="0.2">
      <c r="A43" s="2"/>
      <c r="B43" s="8">
        <f>+ROUNDUP((B41*B42),2)</f>
        <v>13.91</v>
      </c>
      <c r="C43" s="27">
        <f>+ROUNDUP((C41*C42),2)</f>
        <v>26.55</v>
      </c>
      <c r="D43" s="1">
        <f>+TRUNC((D41*D42),0)</f>
        <v>177</v>
      </c>
      <c r="E43" s="8">
        <f>+TRUNC((E41*E42),2)</f>
        <v>13.01</v>
      </c>
      <c r="F43" s="1">
        <f>+TRUNC((F41*F42),0)</f>
        <v>584</v>
      </c>
      <c r="G43" s="8">
        <f>+ROUNDUP((G41*G42),2)</f>
        <v>143.35</v>
      </c>
      <c r="H43" s="10" t="s">
        <v>25</v>
      </c>
    </row>
    <row r="44" spans="1:15" x14ac:dyDescent="0.2">
      <c r="A44" s="1"/>
      <c r="B44" s="7">
        <f>TRUNC(9.23076*(26.7-B43)^1.835)</f>
        <v>991</v>
      </c>
      <c r="C44" s="28">
        <f>TRUNC(4.99087*(42.5-C43)^1.81)</f>
        <v>750</v>
      </c>
      <c r="D44" s="7">
        <f>TRUNC(1.84523*(D43-75)^1.348)</f>
        <v>941</v>
      </c>
      <c r="E44" s="7">
        <f>TRUNC(56.0211*(E43-1.5)^1.05)</f>
        <v>728</v>
      </c>
      <c r="F44" s="7">
        <f>TRUNC(0.188807*(F43-210)^1.41)</f>
        <v>801</v>
      </c>
      <c r="G44" s="7">
        <f>TRUNC(0.11193*(254-G43)^1.88)</f>
        <v>779</v>
      </c>
      <c r="H44" s="7">
        <f>B44+D44+E44+F44+G44</f>
        <v>4240</v>
      </c>
      <c r="I44" s="29">
        <f>C44+D44+E44+F44+G44</f>
        <v>3999</v>
      </c>
    </row>
    <row r="45" spans="1:15" x14ac:dyDescent="0.2">
      <c r="B45" s="12"/>
      <c r="C45" s="23"/>
      <c r="D45" s="2"/>
      <c r="E45" s="2"/>
      <c r="F45" s="2"/>
      <c r="G45" s="2"/>
    </row>
    <row r="46" spans="1:15" x14ac:dyDescent="0.2">
      <c r="A46" s="4">
        <v>70</v>
      </c>
      <c r="B46" s="6">
        <v>17.309999999999999</v>
      </c>
      <c r="C46" s="25">
        <v>54.96</v>
      </c>
      <c r="D46" s="7">
        <v>75</v>
      </c>
      <c r="E46" s="6">
        <v>4.43</v>
      </c>
      <c r="F46" s="7">
        <v>172</v>
      </c>
      <c r="G46" s="6">
        <v>336.33</v>
      </c>
      <c r="H46" s="4"/>
      <c r="J46" s="6"/>
      <c r="K46" s="6"/>
      <c r="L46" s="7"/>
      <c r="M46" s="6"/>
      <c r="N46" s="7"/>
      <c r="O46" s="6"/>
    </row>
    <row r="47" spans="1:15" x14ac:dyDescent="0.2">
      <c r="A47" s="2"/>
      <c r="B47" s="2">
        <v>0.80840000000000001</v>
      </c>
      <c r="C47" s="26">
        <v>0.70679999999999998</v>
      </c>
      <c r="D47" s="2">
        <v>1.5794999999999999</v>
      </c>
      <c r="E47" s="2">
        <v>1.8559000000000001</v>
      </c>
      <c r="F47" s="2">
        <v>1.6942999999999999</v>
      </c>
      <c r="G47" s="2">
        <v>0.67520000000000002</v>
      </c>
      <c r="H47" s="4"/>
    </row>
    <row r="48" spans="1:15" x14ac:dyDescent="0.2">
      <c r="A48" s="2"/>
      <c r="B48" s="8">
        <f>+ROUNDUP((B46*B47),2)</f>
        <v>14</v>
      </c>
      <c r="C48" s="27">
        <f>+ROUNDUP((C46*C47),2)</f>
        <v>38.85</v>
      </c>
      <c r="D48" s="1">
        <f>+TRUNC((D46*D47),0)</f>
        <v>118</v>
      </c>
      <c r="E48" s="8">
        <f>+TRUNC((E46*E47),2)</f>
        <v>8.2200000000000006</v>
      </c>
      <c r="F48" s="1">
        <f>+TRUNC((F46*F47),0)</f>
        <v>291</v>
      </c>
      <c r="G48" s="8">
        <f>+ROUNDUP((G46*G47),2)</f>
        <v>227.1</v>
      </c>
      <c r="H48" s="4"/>
      <c r="I48" t="s">
        <v>37</v>
      </c>
    </row>
    <row r="49" spans="1:9" x14ac:dyDescent="0.2">
      <c r="A49" s="1"/>
      <c r="B49" s="7">
        <f>TRUNC(9.23076*(26.7-B48)^1.835)</f>
        <v>978</v>
      </c>
      <c r="C49" s="28">
        <f>TRUNC(4.99087*(42.5-C48)^1.81)</f>
        <v>51</v>
      </c>
      <c r="D49" s="7">
        <f>TRUNC(1.84523*(D48-75)^1.348)</f>
        <v>293</v>
      </c>
      <c r="E49" s="7">
        <f>TRUNC(56.0211*(E48-1.5)^1.05)</f>
        <v>414</v>
      </c>
      <c r="F49" s="7">
        <f>TRUNC(0.188807*(F48-210)^1.41)</f>
        <v>92</v>
      </c>
      <c r="G49" s="7">
        <f>TRUNC(0.11193*(254-G48)^1.88)</f>
        <v>54</v>
      </c>
      <c r="H49" s="7">
        <f>B49+D49+E49+F49+G49</f>
        <v>1831</v>
      </c>
      <c r="I49" s="29">
        <f>C49+D49+E49+F49+G49</f>
        <v>904</v>
      </c>
    </row>
    <row r="50" spans="1:9" x14ac:dyDescent="0.2">
      <c r="B50" s="12"/>
      <c r="C50" s="23"/>
      <c r="D50" s="2"/>
      <c r="E50" s="2"/>
      <c r="F50" s="2"/>
      <c r="G50" s="2"/>
    </row>
    <row r="51" spans="1:9" x14ac:dyDescent="0.2">
      <c r="A51" s="4">
        <v>75</v>
      </c>
      <c r="B51" s="6">
        <v>17.309999999999999</v>
      </c>
      <c r="C51" s="25">
        <v>54.96</v>
      </c>
      <c r="D51" s="7">
        <v>75</v>
      </c>
      <c r="E51" s="6">
        <v>4.43</v>
      </c>
      <c r="F51" s="7">
        <v>172</v>
      </c>
      <c r="G51" s="6">
        <v>336.33</v>
      </c>
      <c r="H51" s="4"/>
    </row>
    <row r="52" spans="1:9" x14ac:dyDescent="0.2">
      <c r="A52" s="2"/>
      <c r="B52" s="2">
        <v>0.71140000000000003</v>
      </c>
      <c r="C52" s="26">
        <v>0.65449999999999997</v>
      </c>
      <c r="D52" s="2">
        <v>1.7094</v>
      </c>
      <c r="E52" s="2">
        <v>1.8324</v>
      </c>
      <c r="F52" s="2">
        <v>1.8694999999999999</v>
      </c>
      <c r="G52" s="2">
        <v>0.60529999999999995</v>
      </c>
      <c r="H52" s="4"/>
    </row>
    <row r="53" spans="1:9" x14ac:dyDescent="0.2">
      <c r="A53" s="2"/>
      <c r="B53" s="8">
        <f>+ROUNDUP((B51*B52),2)</f>
        <v>12.32</v>
      </c>
      <c r="C53" s="27">
        <f>+ROUNDUP((C51*C52),2)</f>
        <v>35.979999999999997</v>
      </c>
      <c r="D53" s="1">
        <f>+TRUNC((D51*D52),0)</f>
        <v>128</v>
      </c>
      <c r="E53" s="8">
        <f>+TRUNC((E51*E52),2)</f>
        <v>8.11</v>
      </c>
      <c r="F53" s="1">
        <f>+TRUNC((F51*F52),0)</f>
        <v>321</v>
      </c>
      <c r="G53" s="8">
        <f>+ROUNDUP((G51*G52),2)</f>
        <v>203.59</v>
      </c>
      <c r="H53" s="4"/>
    </row>
    <row r="54" spans="1:9" x14ac:dyDescent="0.2">
      <c r="A54" s="1"/>
      <c r="B54" s="7">
        <f>TRUNC(9.23076*(26.7-B53)^1.835)</f>
        <v>1229</v>
      </c>
      <c r="C54" s="28">
        <f>TRUNC(4.99087*(42.5-C53)^1.81)</f>
        <v>148</v>
      </c>
      <c r="D54" s="7">
        <f>TRUNC(1.84523*(D53-75)^1.348)</f>
        <v>389</v>
      </c>
      <c r="E54" s="7">
        <f>TRUNC(56.0211*(E53-1.5)^1.05)</f>
        <v>406</v>
      </c>
      <c r="F54" s="7">
        <f>TRUNC(0.188807*(F53-210)^1.41)</f>
        <v>144</v>
      </c>
      <c r="G54" s="7">
        <f>TRUNC(0.11193*(254-G53)^1.88)</f>
        <v>177</v>
      </c>
      <c r="H54" s="7">
        <f>B54+D54+E54+F54+G54</f>
        <v>2345</v>
      </c>
      <c r="I54" s="11">
        <f>C54+D54+E54+F54+G54</f>
        <v>1264</v>
      </c>
    </row>
    <row r="55" spans="1:9" x14ac:dyDescent="0.2">
      <c r="B55" s="12"/>
      <c r="C55" s="23"/>
      <c r="D55" s="2"/>
      <c r="E55" s="2"/>
      <c r="F55" s="2"/>
      <c r="G55" s="2"/>
    </row>
    <row r="56" spans="1:9" x14ac:dyDescent="0.2">
      <c r="A56" s="4">
        <v>80</v>
      </c>
      <c r="B56" s="6">
        <v>17.309999999999999</v>
      </c>
      <c r="C56" s="25">
        <v>54.96</v>
      </c>
      <c r="D56" s="7">
        <v>75</v>
      </c>
      <c r="E56" s="6">
        <v>4.43</v>
      </c>
      <c r="F56" s="7">
        <v>172</v>
      </c>
      <c r="G56" s="6">
        <v>336.33</v>
      </c>
      <c r="H56" s="4"/>
    </row>
    <row r="57" spans="1:9" x14ac:dyDescent="0.2">
      <c r="A57" s="2"/>
      <c r="B57" s="2">
        <v>0.59460000000000002</v>
      </c>
      <c r="C57" s="26">
        <v>0.5857</v>
      </c>
      <c r="D57" s="2">
        <v>1.8681000000000001</v>
      </c>
      <c r="E57" s="2">
        <v>2.0741999999999998</v>
      </c>
      <c r="F57" s="2">
        <v>2.1644999999999999</v>
      </c>
      <c r="G57" s="2">
        <v>0.52200000000000002</v>
      </c>
      <c r="H57" s="4"/>
    </row>
    <row r="58" spans="1:9" x14ac:dyDescent="0.2">
      <c r="A58" s="2"/>
      <c r="B58" s="8">
        <f>+ROUNDUP((B56*B57),2)</f>
        <v>10.299999999999999</v>
      </c>
      <c r="C58" s="27">
        <f>+ROUNDUP((C56*C57),2)</f>
        <v>32.199999999999996</v>
      </c>
      <c r="D58" s="1">
        <f>+TRUNC((D56*D57),0)</f>
        <v>140</v>
      </c>
      <c r="E58" s="8">
        <f>+TRUNC((E56*E57),2)</f>
        <v>9.18</v>
      </c>
      <c r="F58" s="1">
        <f>+TRUNC((F56*F57),0)</f>
        <v>372</v>
      </c>
      <c r="G58" s="8">
        <f>+ROUNDUP((G56*G57),2)</f>
        <v>175.57</v>
      </c>
      <c r="H58" s="4"/>
    </row>
    <row r="59" spans="1:9" x14ac:dyDescent="0.2">
      <c r="A59" s="1"/>
      <c r="B59" s="7">
        <f>TRUNC(9.23076*(26.7-B58)^1.835)</f>
        <v>1564</v>
      </c>
      <c r="C59" s="28">
        <f>TRUNC(4.99087*(42.5-C58)^1.81)</f>
        <v>339</v>
      </c>
      <c r="D59" s="7">
        <f>TRUNC(1.84523*(D58-75)^1.348)</f>
        <v>512</v>
      </c>
      <c r="E59" s="7">
        <f>TRUNC(56.0211*(E58-1.5)^1.05)</f>
        <v>476</v>
      </c>
      <c r="F59" s="7">
        <f>TRUNC(0.188807*(F58-210)^1.41)</f>
        <v>246</v>
      </c>
      <c r="G59" s="7">
        <f>TRUNC(0.11193*(254-G58)^1.88)</f>
        <v>407</v>
      </c>
      <c r="H59" s="7">
        <f>B59+D59+E59+F59+G59</f>
        <v>3205</v>
      </c>
      <c r="I59" s="11">
        <f>C59+D59+E59+F59+G59</f>
        <v>1980</v>
      </c>
    </row>
    <row r="60" spans="1:9" x14ac:dyDescent="0.2">
      <c r="B60" s="12"/>
      <c r="C60" s="23"/>
      <c r="D60" s="2"/>
      <c r="E60" s="2"/>
      <c r="F60" s="2"/>
      <c r="G60" s="2"/>
    </row>
    <row r="61" spans="1:9" x14ac:dyDescent="0.2">
      <c r="A61" s="4">
        <v>85</v>
      </c>
      <c r="B61" s="6">
        <v>17.309999999999999</v>
      </c>
      <c r="C61" s="25">
        <v>54.96</v>
      </c>
      <c r="D61" s="7">
        <v>75</v>
      </c>
      <c r="E61" s="6">
        <v>4.43</v>
      </c>
      <c r="F61" s="7">
        <v>172</v>
      </c>
      <c r="G61" s="6">
        <v>336.33</v>
      </c>
      <c r="H61" s="4"/>
    </row>
    <row r="62" spans="1:9" x14ac:dyDescent="0.2">
      <c r="A62" s="2"/>
      <c r="B62" s="2">
        <v>0.43909999999999999</v>
      </c>
      <c r="C62" s="26">
        <v>0.49320000000000003</v>
      </c>
      <c r="D62" s="2">
        <v>2.0672999999999999</v>
      </c>
      <c r="E62" s="2">
        <v>2.3894000000000002</v>
      </c>
      <c r="F62" s="2">
        <v>2.9154</v>
      </c>
      <c r="G62" s="2">
        <v>0.42280000000000001</v>
      </c>
      <c r="H62" s="4"/>
    </row>
    <row r="63" spans="1:9" x14ac:dyDescent="0.2">
      <c r="A63" s="2"/>
      <c r="B63" s="8">
        <f>+ROUNDUP((B61*B62),2)</f>
        <v>7.6099999999999994</v>
      </c>
      <c r="C63" s="27">
        <f>+ROUNDUP((C61*C62),2)</f>
        <v>27.110000000000003</v>
      </c>
      <c r="D63" s="1">
        <f>+TRUNC((D61*D62),0)</f>
        <v>155</v>
      </c>
      <c r="E63" s="8">
        <f>+TRUNC((E61*E62),2)</f>
        <v>10.58</v>
      </c>
      <c r="F63" s="1">
        <f>+TRUNC((F61*F62),0)</f>
        <v>501</v>
      </c>
      <c r="G63" s="8">
        <f>+ROUNDUP((G61*G62),2)</f>
        <v>142.20999999999998</v>
      </c>
      <c r="H63" s="4"/>
    </row>
    <row r="64" spans="1:9" x14ac:dyDescent="0.2">
      <c r="A64" s="1"/>
      <c r="B64" s="7">
        <f>TRUNC(9.23076*(26.7-B63)^1.835)</f>
        <v>2067</v>
      </c>
      <c r="C64" s="28">
        <f>TRUNC(4.99087*(42.5-C63)^1.81)</f>
        <v>703</v>
      </c>
      <c r="D64" s="7">
        <f>TRUNC(1.84523*(D63-75)^1.348)</f>
        <v>678</v>
      </c>
      <c r="E64" s="7">
        <f>TRUNC(56.0211*(E63-1.5)^1.05)</f>
        <v>567</v>
      </c>
      <c r="F64" s="7">
        <f>TRUNC(0.188807*(F63-210)^1.41)</f>
        <v>562</v>
      </c>
      <c r="G64" s="7">
        <f>TRUNC(0.11193*(254-G63)^1.88)</f>
        <v>794</v>
      </c>
      <c r="H64" s="7">
        <f>B64+D64+E64+F64+G64</f>
        <v>4668</v>
      </c>
      <c r="I64" s="11">
        <f>C64+D64+E64+F64+G64</f>
        <v>3304</v>
      </c>
    </row>
    <row r="65" spans="1:9" x14ac:dyDescent="0.2">
      <c r="B65" s="12"/>
      <c r="C65" s="23"/>
      <c r="D65" s="2"/>
      <c r="E65" s="2"/>
      <c r="F65" s="2"/>
      <c r="G65" s="2"/>
    </row>
    <row r="66" spans="1:9" x14ac:dyDescent="0.2">
      <c r="A66" s="4">
        <v>90</v>
      </c>
      <c r="B66" s="6">
        <v>17.309999999999999</v>
      </c>
      <c r="C66" s="25">
        <v>62.23</v>
      </c>
      <c r="D66" s="7">
        <v>82</v>
      </c>
      <c r="E66" s="6">
        <v>3.71</v>
      </c>
      <c r="F66" s="7">
        <v>172</v>
      </c>
      <c r="G66" s="6">
        <v>415</v>
      </c>
      <c r="H66" s="4"/>
    </row>
    <row r="67" spans="1:9" x14ac:dyDescent="0.2">
      <c r="A67" s="2"/>
      <c r="B67" s="2">
        <v>0.22090000000000001</v>
      </c>
      <c r="C67" s="26">
        <v>0.36</v>
      </c>
      <c r="D67" s="2">
        <v>2.3260999999999998</v>
      </c>
      <c r="E67" s="2">
        <v>2.8176000000000001</v>
      </c>
      <c r="F67" s="2">
        <v>3.2696000000000001</v>
      </c>
      <c r="G67" s="2">
        <v>0.30520000000000003</v>
      </c>
      <c r="H67" s="4"/>
    </row>
    <row r="68" spans="1:9" x14ac:dyDescent="0.2">
      <c r="A68" s="2"/>
      <c r="B68" s="8">
        <f>+ROUNDUP((B66*B67),2)</f>
        <v>3.8299999999999996</v>
      </c>
      <c r="C68" s="27">
        <f>+ROUNDUP((C66*C67),2)</f>
        <v>22.41</v>
      </c>
      <c r="D68" s="1">
        <f>+TRUNC((D66*D67),0)</f>
        <v>190</v>
      </c>
      <c r="E68" s="8">
        <f>+TRUNC((E66*E67),2)</f>
        <v>10.45</v>
      </c>
      <c r="F68" s="1">
        <f>+TRUNC((F66*F67),0)</f>
        <v>562</v>
      </c>
      <c r="G68" s="8">
        <f>+ROUNDUP((G66*G67),2)</f>
        <v>126.66000000000001</v>
      </c>
      <c r="H68" s="4"/>
    </row>
    <row r="69" spans="1:9" x14ac:dyDescent="0.2">
      <c r="A69" s="1"/>
      <c r="B69" s="7">
        <f>TRUNC(9.23076*(26.7-B68)^1.835)</f>
        <v>2880</v>
      </c>
      <c r="C69" s="28">
        <f>TRUNC(4.99087*(42.5-C68)^1.81)</f>
        <v>1139</v>
      </c>
      <c r="D69" s="7">
        <f>TRUNC(1.84523*(D68-75)^1.348)</f>
        <v>1106</v>
      </c>
      <c r="E69" s="7">
        <f>TRUNC(56.0211*(E68-1.5)^1.05)</f>
        <v>559</v>
      </c>
      <c r="F69" s="7">
        <f>TRUNC(0.188807*(F68-210)^1.41)</f>
        <v>735</v>
      </c>
      <c r="G69" s="7">
        <f>TRUNC(0.11193*(254-G68)^1.88)</f>
        <v>1014</v>
      </c>
      <c r="H69" s="7"/>
      <c r="I69" s="11"/>
    </row>
    <row r="70" spans="1:9" x14ac:dyDescent="0.2">
      <c r="B70" s="12"/>
      <c r="D70" s="2"/>
      <c r="E70" s="2"/>
      <c r="F70" s="2"/>
      <c r="G70" s="2"/>
    </row>
    <row r="71" spans="1:9" x14ac:dyDescent="0.2">
      <c r="A71" s="4">
        <v>95</v>
      </c>
      <c r="B71" s="6">
        <v>17.309999999999999</v>
      </c>
      <c r="C71" s="25">
        <v>62.23</v>
      </c>
      <c r="D71" s="7">
        <v>999</v>
      </c>
      <c r="E71" s="6">
        <v>99.99</v>
      </c>
      <c r="F71" s="7">
        <v>172</v>
      </c>
      <c r="G71" s="6">
        <v>415</v>
      </c>
      <c r="H71" s="4"/>
    </row>
    <row r="72" spans="1:9" x14ac:dyDescent="0.2">
      <c r="A72" s="2"/>
      <c r="B72" s="34">
        <v>0.18029999999999999</v>
      </c>
      <c r="C72" s="26">
        <v>0.29380000000000001</v>
      </c>
      <c r="D72" s="2">
        <v>2.6766000000000001</v>
      </c>
      <c r="E72" s="2">
        <v>3.4327999999999999</v>
      </c>
      <c r="F72" s="2">
        <v>4.4234999999999998</v>
      </c>
      <c r="G72" s="2">
        <v>0.25540000000000002</v>
      </c>
      <c r="H72" s="4"/>
    </row>
    <row r="73" spans="1:9" x14ac:dyDescent="0.2">
      <c r="A73" s="2"/>
      <c r="B73" s="8">
        <f>+ROUNDUP((B71*B72),2)</f>
        <v>3.13</v>
      </c>
      <c r="C73" s="27">
        <f>+ROUNDUP((C71*C72),2)</f>
        <v>18.290000000000003</v>
      </c>
      <c r="D73" s="1">
        <f>+TRUNC((D71*D72),0)</f>
        <v>2673</v>
      </c>
      <c r="E73" s="8">
        <f>+TRUNC((E71*E72),2)</f>
        <v>343.24</v>
      </c>
      <c r="F73" s="1">
        <f>+TRUNC((F71*F72),0)</f>
        <v>760</v>
      </c>
      <c r="G73" s="8">
        <f>+ROUNDUP((G71*G72),2)</f>
        <v>106</v>
      </c>
      <c r="H73" s="4"/>
    </row>
    <row r="74" spans="1:9" x14ac:dyDescent="0.2">
      <c r="A74" s="1"/>
      <c r="B74" s="7">
        <f>TRUNC(9.23076*(26.7-B73)^1.835)</f>
        <v>3044</v>
      </c>
      <c r="C74" s="28">
        <f>TRUNC(4.99087*(42.5-C73)^1.81)</f>
        <v>1596</v>
      </c>
      <c r="D74" s="7">
        <f>TRUNC(1.84523*(D73-75)^1.348)</f>
        <v>73957</v>
      </c>
      <c r="E74" s="7">
        <f>TRUNC(56.0211*(E73-1.5)^1.05)</f>
        <v>25629</v>
      </c>
      <c r="F74" s="7">
        <f>TRUNC(0.188807*(F73-210)^1.41)</f>
        <v>1380</v>
      </c>
      <c r="G74" s="7">
        <f>TRUNC(0.11193*(254-G73)^1.88)</f>
        <v>1345</v>
      </c>
      <c r="H74" s="7"/>
      <c r="I74" s="11"/>
    </row>
    <row r="75" spans="1:9" x14ac:dyDescent="0.2">
      <c r="B75" s="3"/>
      <c r="D75" s="2"/>
      <c r="E75" s="2"/>
      <c r="F75" s="2"/>
      <c r="G75" s="2"/>
    </row>
    <row r="76" spans="1:9" x14ac:dyDescent="0.2">
      <c r="A76" s="4" t="s">
        <v>9</v>
      </c>
      <c r="B76" s="6">
        <v>17.309999999999999</v>
      </c>
      <c r="C76" s="25">
        <v>62.23</v>
      </c>
      <c r="D76" s="7">
        <v>999</v>
      </c>
      <c r="E76" s="6">
        <v>99.9</v>
      </c>
      <c r="F76" s="7">
        <v>172</v>
      </c>
      <c r="G76" s="6">
        <v>415</v>
      </c>
      <c r="H76" s="4"/>
    </row>
    <row r="77" spans="1:9" x14ac:dyDescent="0.2">
      <c r="A77" s="2"/>
      <c r="B77" s="34">
        <v>0.13120000000000001</v>
      </c>
      <c r="C77" s="26">
        <v>0.19170000000000001</v>
      </c>
      <c r="D77" s="2">
        <v>3.2</v>
      </c>
      <c r="E77" s="2">
        <v>4.3917000000000002</v>
      </c>
      <c r="F77" s="2">
        <v>7.52</v>
      </c>
      <c r="G77" s="2">
        <v>0.20069999999999999</v>
      </c>
      <c r="H77" s="4"/>
    </row>
    <row r="78" spans="1:9" x14ac:dyDescent="0.2">
      <c r="A78" s="2"/>
      <c r="B78" s="8">
        <f>+ROUNDUP((B76*B77),2)</f>
        <v>2.2799999999999998</v>
      </c>
      <c r="C78" s="27">
        <f>+ROUNDUP((C76*C77),2)</f>
        <v>11.93</v>
      </c>
      <c r="D78" s="1">
        <f>+TRUNC((D76*D77),0)</f>
        <v>3196</v>
      </c>
      <c r="E78" s="8">
        <f>+TRUNC((E76*E77),2)</f>
        <v>438.73</v>
      </c>
      <c r="F78" s="1">
        <f>+TRUNC((F76*F77),0)</f>
        <v>1293</v>
      </c>
      <c r="G78" s="8">
        <f>+ROUNDUP((G76*G77),2)</f>
        <v>83.300000000000011</v>
      </c>
      <c r="H78" s="4"/>
    </row>
    <row r="79" spans="1:9" x14ac:dyDescent="0.2">
      <c r="A79" s="1"/>
      <c r="B79" s="7">
        <f>TRUNC(9.23076*(26.7-B78)^1.835)</f>
        <v>3249</v>
      </c>
      <c r="C79" s="28">
        <f>TRUNC(4.99087*(42.5-C78)^1.81)</f>
        <v>2435</v>
      </c>
      <c r="D79" s="7">
        <f>TRUNC(1.84523*(D78-75)^1.348)</f>
        <v>94701</v>
      </c>
      <c r="E79" s="7">
        <f>TRUNC(56.0211*(E78-1.5)^1.05)</f>
        <v>33196</v>
      </c>
      <c r="F79" s="7">
        <f>TRUNC(0.188807*(F78-210)^1.41)</f>
        <v>3587</v>
      </c>
      <c r="G79" s="7">
        <f>TRUNC(0.11193*(254-G78)^1.88)</f>
        <v>1760</v>
      </c>
      <c r="H79" s="7"/>
      <c r="I79" s="11"/>
    </row>
    <row r="80" spans="1:9" x14ac:dyDescent="0.2">
      <c r="B80" s="3"/>
      <c r="D80" s="2"/>
      <c r="E80" s="2"/>
      <c r="G80" s="2"/>
    </row>
    <row r="81" spans="4:7" x14ac:dyDescent="0.2">
      <c r="D81" s="2"/>
      <c r="E81" s="2"/>
      <c r="F81" s="2"/>
      <c r="G81" s="2"/>
    </row>
    <row r="82" spans="4:7" x14ac:dyDescent="0.2">
      <c r="D82" s="2"/>
      <c r="E82" s="2"/>
      <c r="G82" s="2"/>
    </row>
    <row r="83" spans="4:7" x14ac:dyDescent="0.2">
      <c r="D83" s="2"/>
      <c r="E83" s="2"/>
    </row>
    <row r="84" spans="4:7" x14ac:dyDescent="0.2">
      <c r="D84" s="2"/>
      <c r="E84" s="2"/>
    </row>
    <row r="85" spans="4:7" x14ac:dyDescent="0.2">
      <c r="D85" s="2"/>
      <c r="E85" s="2"/>
    </row>
    <row r="86" spans="4:7" x14ac:dyDescent="0.2">
      <c r="D86" s="2"/>
      <c r="E86" s="2"/>
    </row>
    <row r="87" spans="4:7" x14ac:dyDescent="0.2">
      <c r="D87" s="2"/>
      <c r="E87" s="2"/>
    </row>
    <row r="88" spans="4:7" x14ac:dyDescent="0.2">
      <c r="D88" s="2"/>
      <c r="E88" s="2"/>
    </row>
    <row r="89" spans="4:7" x14ac:dyDescent="0.2">
      <c r="D89" s="2"/>
      <c r="E89" s="2"/>
    </row>
    <row r="90" spans="4:7" x14ac:dyDescent="0.2">
      <c r="E90" s="2"/>
    </row>
    <row r="91" spans="4:7" x14ac:dyDescent="0.2">
      <c r="E91" s="2"/>
    </row>
    <row r="92" spans="4:7" x14ac:dyDescent="0.2">
      <c r="E92" s="2"/>
    </row>
    <row r="93" spans="4:7" x14ac:dyDescent="0.2">
      <c r="E93" s="2"/>
    </row>
    <row r="94" spans="4:7" x14ac:dyDescent="0.2">
      <c r="E94" s="2"/>
    </row>
    <row r="95" spans="4:7" x14ac:dyDescent="0.2">
      <c r="E95" s="2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00"/>
  <sheetViews>
    <sheetView tabSelected="1" zoomScaleNormal="100" workbookViewId="0">
      <selection activeCell="A5" sqref="A5"/>
    </sheetView>
  </sheetViews>
  <sheetFormatPr defaultRowHeight="12.75" x14ac:dyDescent="0.2"/>
  <cols>
    <col min="1" max="1" width="6.28515625" bestFit="1" customWidth="1"/>
    <col min="2" max="2" width="10" bestFit="1" customWidth="1"/>
    <col min="3" max="3" width="10" style="2" bestFit="1" customWidth="1"/>
    <col min="4" max="6" width="11" style="2" bestFit="1" customWidth="1"/>
    <col min="7" max="9" width="12.5703125" style="2" bestFit="1" customWidth="1"/>
    <col min="10" max="10" width="10" style="2" bestFit="1" customWidth="1"/>
    <col min="11" max="11" width="11.7109375" style="2" bestFit="1" customWidth="1"/>
    <col min="12" max="18" width="10" bestFit="1" customWidth="1"/>
    <col min="19" max="19" width="10.140625" bestFit="1" customWidth="1"/>
    <col min="20" max="20" width="10.7109375" style="2" bestFit="1" customWidth="1"/>
    <col min="21" max="21" width="12.5703125" style="2" bestFit="1" customWidth="1"/>
    <col min="22" max="22" width="3.140625" style="2" bestFit="1" customWidth="1"/>
    <col min="23" max="23" width="11.42578125" style="2" bestFit="1" customWidth="1"/>
    <col min="24" max="24" width="13.7109375" bestFit="1" customWidth="1"/>
    <col min="25" max="25" width="13.28515625" bestFit="1" customWidth="1"/>
    <col min="26" max="26" width="12.140625" bestFit="1" customWidth="1"/>
    <col min="27" max="27" width="13.140625" customWidth="1"/>
    <col min="28" max="28" width="11" bestFit="1" customWidth="1"/>
    <col min="29" max="29" width="12.28515625" customWidth="1"/>
    <col min="30" max="30" width="12" customWidth="1"/>
    <col min="31" max="31" width="14" customWidth="1"/>
    <col min="32" max="32" width="10.140625" customWidth="1"/>
    <col min="33" max="33" width="13" customWidth="1"/>
    <col min="34" max="34" width="10.140625" customWidth="1"/>
  </cols>
  <sheetData>
    <row r="1" spans="1:41" ht="20.25" customHeight="1" x14ac:dyDescent="0.25">
      <c r="B1" s="69" t="s">
        <v>63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1"/>
      <c r="W1" s="61"/>
    </row>
    <row r="2" spans="1:41" x14ac:dyDescent="0.2">
      <c r="B2" s="2" t="s">
        <v>59</v>
      </c>
      <c r="C2" s="41"/>
      <c r="D2" s="38" t="s">
        <v>65</v>
      </c>
      <c r="E2" s="70" t="s">
        <v>69</v>
      </c>
      <c r="F2" s="70"/>
      <c r="G2" s="70"/>
      <c r="H2" s="70"/>
      <c r="I2"/>
      <c r="J2" s="70" t="s">
        <v>71</v>
      </c>
      <c r="K2" s="70"/>
      <c r="L2" s="70"/>
      <c r="M2" s="70"/>
      <c r="N2" s="71" t="s">
        <v>70</v>
      </c>
      <c r="O2" s="71"/>
      <c r="P2" s="71"/>
      <c r="Q2" s="71"/>
      <c r="R2" s="71"/>
    </row>
    <row r="3" spans="1:41" x14ac:dyDescent="0.2">
      <c r="B3" s="2" t="s">
        <v>60</v>
      </c>
      <c r="C3" s="62"/>
      <c r="D3" s="38" t="s">
        <v>66</v>
      </c>
    </row>
    <row r="4" spans="1:41" x14ac:dyDescent="0.2">
      <c r="B4" s="2" t="s">
        <v>61</v>
      </c>
      <c r="C4" s="42"/>
      <c r="D4" s="38" t="s">
        <v>67</v>
      </c>
    </row>
    <row r="5" spans="1:41" x14ac:dyDescent="0.2">
      <c r="B5" s="2" t="s">
        <v>62</v>
      </c>
      <c r="C5" s="43"/>
      <c r="D5" s="38" t="s">
        <v>68</v>
      </c>
      <c r="X5" s="74" t="s">
        <v>74</v>
      </c>
      <c r="Y5" s="74"/>
      <c r="Z5" s="74"/>
      <c r="AA5" s="74"/>
      <c r="AB5" s="74"/>
    </row>
    <row r="6" spans="1:41" ht="8.25" customHeight="1" x14ac:dyDescent="0.25">
      <c r="A6" s="13"/>
      <c r="X6" s="75" t="s">
        <v>75</v>
      </c>
      <c r="Y6" s="75"/>
      <c r="Z6" s="75"/>
      <c r="AA6" s="75"/>
      <c r="AB6" s="75"/>
    </row>
    <row r="7" spans="1:41" ht="6" customHeight="1" x14ac:dyDescent="0.2">
      <c r="A7" s="5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75"/>
      <c r="Y7" s="75"/>
      <c r="Z7" s="75"/>
      <c r="AA7" s="75"/>
      <c r="AB7" s="75"/>
    </row>
    <row r="8" spans="1:41" x14ac:dyDescent="0.2">
      <c r="B8" s="21" t="s">
        <v>17</v>
      </c>
      <c r="C8" s="21" t="s">
        <v>3</v>
      </c>
      <c r="D8" s="21" t="s">
        <v>18</v>
      </c>
      <c r="E8" s="21" t="s">
        <v>6</v>
      </c>
      <c r="F8" s="21" t="s">
        <v>16</v>
      </c>
      <c r="G8" s="21" t="s">
        <v>53</v>
      </c>
      <c r="H8" s="21" t="s">
        <v>48</v>
      </c>
      <c r="I8" s="21" t="s">
        <v>49</v>
      </c>
      <c r="J8" s="21" t="s">
        <v>4</v>
      </c>
      <c r="K8" s="21" t="s">
        <v>50</v>
      </c>
      <c r="L8" s="21" t="s">
        <v>1</v>
      </c>
      <c r="M8" s="21" t="s">
        <v>19</v>
      </c>
      <c r="N8" s="21" t="s">
        <v>13</v>
      </c>
      <c r="O8" s="21" t="s">
        <v>2</v>
      </c>
      <c r="P8" s="21" t="s">
        <v>5</v>
      </c>
      <c r="Q8" s="21" t="s">
        <v>12</v>
      </c>
      <c r="R8" s="21" t="s">
        <v>14</v>
      </c>
      <c r="S8" s="21" t="s">
        <v>15</v>
      </c>
      <c r="T8" s="21" t="s">
        <v>51</v>
      </c>
      <c r="U8" s="21" t="s">
        <v>52</v>
      </c>
      <c r="V8" s="21"/>
      <c r="W8" s="21"/>
      <c r="X8" s="21" t="s">
        <v>54</v>
      </c>
      <c r="Y8" s="21" t="s">
        <v>58</v>
      </c>
      <c r="Z8" s="21" t="s">
        <v>55</v>
      </c>
      <c r="AA8" s="21" t="s">
        <v>56</v>
      </c>
      <c r="AB8" s="21" t="s">
        <v>57</v>
      </c>
    </row>
    <row r="9" spans="1:41" ht="6" customHeight="1" x14ac:dyDescent="0.2">
      <c r="L9" s="2"/>
      <c r="M9" s="2"/>
      <c r="O9" s="2"/>
      <c r="Q9" s="4"/>
      <c r="R9" s="4"/>
    </row>
    <row r="10" spans="1:41" x14ac:dyDescent="0.2">
      <c r="A10" s="4">
        <v>30</v>
      </c>
      <c r="B10" s="46">
        <v>10.39</v>
      </c>
      <c r="C10" s="45">
        <v>20.86</v>
      </c>
      <c r="D10" s="46">
        <v>46.16</v>
      </c>
      <c r="E10" s="45">
        <v>107.38</v>
      </c>
      <c r="F10" s="46">
        <v>233.7</v>
      </c>
      <c r="G10" s="46">
        <v>475.8</v>
      </c>
      <c r="H10" s="46">
        <v>820.2</v>
      </c>
      <c r="I10" s="46">
        <v>1720.5</v>
      </c>
      <c r="J10" s="47">
        <v>776</v>
      </c>
      <c r="K10" s="47">
        <v>1616</v>
      </c>
      <c r="L10" s="47">
        <v>221</v>
      </c>
      <c r="M10" s="47">
        <v>529</v>
      </c>
      <c r="N10" s="46">
        <v>56.2</v>
      </c>
      <c r="O10" s="46">
        <v>18.399999999999999</v>
      </c>
      <c r="P10" s="46">
        <v>77.2</v>
      </c>
      <c r="Q10" s="46">
        <v>69.349999999999994</v>
      </c>
      <c r="R10" s="46">
        <v>19.600000000000001</v>
      </c>
      <c r="S10" s="46">
        <v>13.8</v>
      </c>
      <c r="T10" s="46">
        <v>55.2</v>
      </c>
      <c r="U10" s="46">
        <v>519.29999999999995</v>
      </c>
      <c r="V10" s="55" t="s">
        <v>65</v>
      </c>
      <c r="W10" s="55" t="s">
        <v>59</v>
      </c>
      <c r="X10" s="79">
        <v>11.35</v>
      </c>
      <c r="Y10" s="79">
        <v>20</v>
      </c>
      <c r="Z10" s="79">
        <v>41.1</v>
      </c>
      <c r="AA10" s="79" t="s">
        <v>72</v>
      </c>
      <c r="AB10" s="79" t="s">
        <v>73</v>
      </c>
      <c r="AC10" s="6"/>
      <c r="AD10" s="6"/>
    </row>
    <row r="11" spans="1:41" x14ac:dyDescent="0.2">
      <c r="A11" s="2"/>
      <c r="B11" s="59">
        <v>1</v>
      </c>
      <c r="C11" s="59">
        <v>1</v>
      </c>
      <c r="D11" s="59">
        <v>1</v>
      </c>
      <c r="E11" s="59">
        <v>1</v>
      </c>
      <c r="F11" s="59">
        <v>1</v>
      </c>
      <c r="G11" s="59">
        <v>1</v>
      </c>
      <c r="H11" s="59">
        <v>1</v>
      </c>
      <c r="I11" s="59">
        <v>1</v>
      </c>
      <c r="J11" s="59">
        <v>1</v>
      </c>
      <c r="K11" s="59">
        <v>1</v>
      </c>
      <c r="L11" s="59">
        <v>1</v>
      </c>
      <c r="M11" s="59">
        <v>1</v>
      </c>
      <c r="N11" s="59">
        <v>1</v>
      </c>
      <c r="O11" s="59">
        <v>1</v>
      </c>
      <c r="P11" s="59">
        <v>1</v>
      </c>
      <c r="Q11" s="59">
        <v>1</v>
      </c>
      <c r="R11" s="59">
        <v>1</v>
      </c>
      <c r="S11" s="59">
        <v>1</v>
      </c>
      <c r="T11" s="59">
        <v>1</v>
      </c>
      <c r="U11" s="59">
        <v>1</v>
      </c>
      <c r="V11" s="60" t="s">
        <v>66</v>
      </c>
      <c r="W11" s="60" t="s">
        <v>60</v>
      </c>
      <c r="X11" s="76">
        <v>1</v>
      </c>
      <c r="Y11" s="76">
        <v>1</v>
      </c>
      <c r="Z11" s="76">
        <v>1</v>
      </c>
      <c r="AA11" s="76">
        <v>1</v>
      </c>
      <c r="AB11" s="76">
        <v>1</v>
      </c>
      <c r="AC11" s="2"/>
    </row>
    <row r="12" spans="1:41" x14ac:dyDescent="0.2">
      <c r="A12" s="2"/>
      <c r="B12" s="49">
        <f t="shared" ref="B12:I12" si="0">+ROUNDUP((B10*B11),2)</f>
        <v>10.39</v>
      </c>
      <c r="C12" s="49">
        <f t="shared" si="0"/>
        <v>20.86</v>
      </c>
      <c r="D12" s="49">
        <f t="shared" si="0"/>
        <v>46.16</v>
      </c>
      <c r="E12" s="49">
        <f t="shared" si="0"/>
        <v>107.38</v>
      </c>
      <c r="F12" s="49">
        <f t="shared" si="0"/>
        <v>233.7</v>
      </c>
      <c r="G12" s="49">
        <f t="shared" si="0"/>
        <v>475.8</v>
      </c>
      <c r="H12" s="49">
        <f t="shared" si="0"/>
        <v>820.2</v>
      </c>
      <c r="I12" s="49">
        <f t="shared" si="0"/>
        <v>1720.5</v>
      </c>
      <c r="J12" s="50">
        <f>+TRUNC((J10*J11),0)</f>
        <v>776</v>
      </c>
      <c r="K12" s="50">
        <f>+TRUNC((K10*K11),0)</f>
        <v>1616</v>
      </c>
      <c r="L12" s="50">
        <f>+TRUNC((L10*L11),0)</f>
        <v>221</v>
      </c>
      <c r="M12" s="50">
        <f>+TRUNC((M10*M11),0)</f>
        <v>529</v>
      </c>
      <c r="N12" s="49">
        <f>+TRUNC((N10*N11),2)</f>
        <v>56.2</v>
      </c>
      <c r="O12" s="49">
        <f>+TRUNC((O10*O11),2)</f>
        <v>18.399999999999999</v>
      </c>
      <c r="P12" s="49">
        <f>+TRUNC((P10*P11),2)</f>
        <v>77.2</v>
      </c>
      <c r="Q12" s="49">
        <f>+TRUNC((Q10*Q11),2)</f>
        <v>69.349999999999994</v>
      </c>
      <c r="R12" s="49">
        <f>+TRUNC((R10*R11),2)</f>
        <v>19.600000000000001</v>
      </c>
      <c r="S12" s="49">
        <f>+ROUNDUP((S10*S11),2)</f>
        <v>13.8</v>
      </c>
      <c r="T12" s="49">
        <f t="shared" ref="T12:AB12" si="1">+ROUNDUP((T10*T11),2)</f>
        <v>55.2</v>
      </c>
      <c r="U12" s="49">
        <f t="shared" si="1"/>
        <v>519.29999999999995</v>
      </c>
      <c r="V12" s="56" t="s">
        <v>67</v>
      </c>
      <c r="W12" s="56" t="s">
        <v>61</v>
      </c>
      <c r="X12" s="77">
        <f t="shared" si="1"/>
        <v>11.35</v>
      </c>
      <c r="Y12" s="77">
        <f t="shared" si="1"/>
        <v>20</v>
      </c>
      <c r="Z12" s="77">
        <f t="shared" si="1"/>
        <v>41.1</v>
      </c>
      <c r="AA12" s="78" t="s">
        <v>72</v>
      </c>
      <c r="AB12" s="78" t="s">
        <v>73</v>
      </c>
      <c r="AC12" s="8"/>
    </row>
    <row r="13" spans="1:41" x14ac:dyDescent="0.2">
      <c r="A13" s="1"/>
      <c r="B13" s="51">
        <f>TRUNC(25.4347*(18-B12)^1.81)</f>
        <v>1001</v>
      </c>
      <c r="C13" s="51">
        <f>TRUNC(5.8425*(38-C12)^1.81)</f>
        <v>1000</v>
      </c>
      <c r="D13" s="51">
        <f>TRUNC(1.53775*(82-D12)^1.81)</f>
        <v>1000</v>
      </c>
      <c r="E13" s="51">
        <f>TRUNC(0.36072*(180-E12)^1.85)</f>
        <v>1000</v>
      </c>
      <c r="F13" s="51">
        <f>TRUNC(0.03768*(480-F12)^1.85)</f>
        <v>1000</v>
      </c>
      <c r="G13" s="51">
        <f>TRUNC(0.01923*(830-G12)^1.85)</f>
        <v>1000</v>
      </c>
      <c r="H13" s="51">
        <f>TRUNC(0.00773*(1400-H12)^1.85)</f>
        <v>1000</v>
      </c>
      <c r="I13" s="51">
        <f>TRUNC(0.0017869*(3000-I12)^1.85)</f>
        <v>1000</v>
      </c>
      <c r="J13" s="51">
        <f>TRUNC(0.14354*(J12-220)^1.4)</f>
        <v>1000</v>
      </c>
      <c r="K13" s="51">
        <f>TRUNC(0.06533*(K12-640)^1.4)</f>
        <v>1000</v>
      </c>
      <c r="L13" s="51">
        <f>TRUNC(0.8465*(L12-75)^1.42)</f>
        <v>1002</v>
      </c>
      <c r="M13" s="51">
        <f>TRUNC(0.2797*(M12-100)^1.35)</f>
        <v>1001</v>
      </c>
      <c r="N13" s="51">
        <f>TRUNC(12.91*(N12-4)^1.1)</f>
        <v>1000</v>
      </c>
      <c r="O13" s="51">
        <f>TRUNC(51.39*(O12-1.5)^1.05)</f>
        <v>1000</v>
      </c>
      <c r="P13" s="51">
        <f>TRUNC(10.14*(P12-7)^1.08)</f>
        <v>1000</v>
      </c>
      <c r="Q13" s="51">
        <f>TRUNC(13.0449*(Q12-7)^1.05)</f>
        <v>1000</v>
      </c>
      <c r="R13" s="51">
        <f>TRUNC(47.8338*(R12-1.5)^1.05)</f>
        <v>1000</v>
      </c>
      <c r="S13" s="51">
        <f>TRUNC(5.74352*(28.5-S12)^1.92)</f>
        <v>1000</v>
      </c>
      <c r="T13" s="51">
        <f>TRUNC(1.466*(92-T12)^1.81)</f>
        <v>1000</v>
      </c>
      <c r="U13" s="51">
        <f>TRUNC(0.01431*(935-U12)^1.85)</f>
        <v>1000</v>
      </c>
      <c r="V13" s="57" t="s">
        <v>68</v>
      </c>
      <c r="W13" s="57" t="s">
        <v>62</v>
      </c>
      <c r="X13" s="82">
        <v>1000</v>
      </c>
      <c r="Y13" s="82">
        <v>1000</v>
      </c>
      <c r="Z13" s="82">
        <v>1000</v>
      </c>
      <c r="AA13" s="82">
        <v>1000</v>
      </c>
      <c r="AB13" s="82">
        <v>1000</v>
      </c>
      <c r="AC13" s="7"/>
      <c r="AD13" s="11"/>
    </row>
    <row r="14" spans="1:41" x14ac:dyDescent="0.2">
      <c r="B14" s="48"/>
      <c r="C14" s="48"/>
      <c r="D14" s="48"/>
      <c r="E14" s="48"/>
      <c r="F14" s="48"/>
      <c r="G14" s="48"/>
      <c r="H14" s="48">
        <v>1</v>
      </c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38"/>
      <c r="W14" s="38"/>
      <c r="X14" s="83"/>
      <c r="Y14" s="83"/>
      <c r="Z14" s="83"/>
      <c r="AA14" s="83"/>
      <c r="AB14" s="83"/>
    </row>
    <row r="15" spans="1:41" x14ac:dyDescent="0.2">
      <c r="A15" s="4">
        <v>35</v>
      </c>
      <c r="B15" s="46">
        <v>10.4</v>
      </c>
      <c r="C15" s="45">
        <v>21.3</v>
      </c>
      <c r="D15" s="46">
        <v>46.98</v>
      </c>
      <c r="E15" s="45">
        <v>107.7</v>
      </c>
      <c r="F15" s="46">
        <v>237.3</v>
      </c>
      <c r="G15" s="46">
        <v>475.8</v>
      </c>
      <c r="H15" s="46">
        <v>820.2</v>
      </c>
      <c r="I15" s="45">
        <v>1738</v>
      </c>
      <c r="J15" s="47">
        <v>748</v>
      </c>
      <c r="K15" s="47">
        <v>1614</v>
      </c>
      <c r="L15" s="47">
        <v>219</v>
      </c>
      <c r="M15" s="47">
        <v>523</v>
      </c>
      <c r="N15" s="46">
        <v>56.17</v>
      </c>
      <c r="O15" s="46">
        <v>17.600000000000001</v>
      </c>
      <c r="P15" s="46">
        <v>74</v>
      </c>
      <c r="Q15" s="46">
        <v>69.400000000000006</v>
      </c>
      <c r="R15" s="46">
        <v>19.600000000000001</v>
      </c>
      <c r="S15" s="46">
        <v>13.85</v>
      </c>
      <c r="T15" s="46">
        <v>56.53</v>
      </c>
      <c r="U15" s="45">
        <v>521</v>
      </c>
      <c r="V15" s="55" t="s">
        <v>65</v>
      </c>
      <c r="W15" s="55" t="s">
        <v>59</v>
      </c>
      <c r="X15" s="79">
        <v>11.35</v>
      </c>
      <c r="Y15" s="79">
        <v>20</v>
      </c>
      <c r="Z15" s="80">
        <v>42.5</v>
      </c>
      <c r="AA15" s="80">
        <v>67.3</v>
      </c>
      <c r="AB15" s="80">
        <v>145</v>
      </c>
      <c r="AC15" s="6"/>
      <c r="AD15" s="6"/>
      <c r="AF15" s="6"/>
      <c r="AG15" s="7"/>
      <c r="AH15" s="6"/>
      <c r="AI15" s="7"/>
      <c r="AJ15" s="6"/>
      <c r="AK15" s="6"/>
      <c r="AL15" s="6"/>
      <c r="AM15" s="7"/>
      <c r="AN15" s="6"/>
      <c r="AO15" s="6"/>
    </row>
    <row r="16" spans="1:41" x14ac:dyDescent="0.2">
      <c r="A16" s="2"/>
      <c r="B16" s="59">
        <v>0.999</v>
      </c>
      <c r="C16" s="59">
        <v>0.97909999999999997</v>
      </c>
      <c r="D16" s="59">
        <v>0.98240000000000005</v>
      </c>
      <c r="E16" s="59">
        <v>0.99650000000000005</v>
      </c>
      <c r="F16" s="59">
        <v>0.9849</v>
      </c>
      <c r="G16" s="59">
        <v>1</v>
      </c>
      <c r="H16" s="59">
        <v>1</v>
      </c>
      <c r="I16" s="59">
        <v>0.98970000000000002</v>
      </c>
      <c r="J16" s="59">
        <v>1.0385</v>
      </c>
      <c r="K16" s="59">
        <v>1.0017</v>
      </c>
      <c r="L16" s="59">
        <v>1.0136000000000001</v>
      </c>
      <c r="M16" s="59">
        <v>1.0128999999999999</v>
      </c>
      <c r="N16" s="59">
        <v>1</v>
      </c>
      <c r="O16" s="59">
        <v>1.0462</v>
      </c>
      <c r="P16" s="59">
        <v>1.0438000000000001</v>
      </c>
      <c r="Q16" s="59">
        <v>1</v>
      </c>
      <c r="R16" s="59">
        <v>1</v>
      </c>
      <c r="S16" s="59">
        <v>0.99570000000000003</v>
      </c>
      <c r="T16" s="59">
        <v>0.97650000000000003</v>
      </c>
      <c r="U16" s="59">
        <v>0.99670000000000003</v>
      </c>
      <c r="V16" s="60" t="s">
        <v>66</v>
      </c>
      <c r="W16" s="60" t="s">
        <v>60</v>
      </c>
      <c r="X16" s="76">
        <v>1</v>
      </c>
      <c r="Y16" s="76">
        <v>1</v>
      </c>
      <c r="Z16" s="76">
        <v>0.99139999999999995</v>
      </c>
      <c r="AA16" s="76">
        <v>0.99529999999999996</v>
      </c>
      <c r="AB16" s="76">
        <v>1</v>
      </c>
      <c r="AC16" s="2"/>
    </row>
    <row r="17" spans="1:41" x14ac:dyDescent="0.2">
      <c r="A17" s="2"/>
      <c r="B17" s="49">
        <f t="shared" ref="B17:H17" si="2">+ROUNDUP((B15*B16),2)</f>
        <v>10.39</v>
      </c>
      <c r="C17" s="49">
        <f t="shared" si="2"/>
        <v>20.860000000000003</v>
      </c>
      <c r="D17" s="49">
        <f t="shared" si="2"/>
        <v>46.16</v>
      </c>
      <c r="E17" s="49">
        <f t="shared" si="2"/>
        <v>107.33</v>
      </c>
      <c r="F17" s="49">
        <f t="shared" si="2"/>
        <v>233.72</v>
      </c>
      <c r="G17" s="49">
        <f t="shared" si="2"/>
        <v>475.8</v>
      </c>
      <c r="H17" s="49">
        <f t="shared" si="2"/>
        <v>820.2</v>
      </c>
      <c r="I17" s="49">
        <f>+ROUNDUP((I15*I16),2)</f>
        <v>1720.1</v>
      </c>
      <c r="J17" s="50">
        <f>+TRUNC((J15*J16),0)</f>
        <v>776</v>
      </c>
      <c r="K17" s="50">
        <f>+TRUNC((K15*K16),0)</f>
        <v>1616</v>
      </c>
      <c r="L17" s="50">
        <f>+TRUNC((L15*L16),0)</f>
        <v>221</v>
      </c>
      <c r="M17" s="50">
        <f>+TRUNC((M15*M16),0)</f>
        <v>529</v>
      </c>
      <c r="N17" s="49">
        <f>+TRUNC((N15*N16),2)</f>
        <v>56.17</v>
      </c>
      <c r="O17" s="49">
        <f>+TRUNC((O15*O16),2)</f>
        <v>18.41</v>
      </c>
      <c r="P17" s="49">
        <f>+TRUNC((P15*P16),2)</f>
        <v>77.239999999999995</v>
      </c>
      <c r="Q17" s="49">
        <f>+TRUNC((Q15*Q16),2)</f>
        <v>69.400000000000006</v>
      </c>
      <c r="R17" s="49">
        <f>+TRUNC((R15*R16),2)</f>
        <v>19.600000000000001</v>
      </c>
      <c r="S17" s="49">
        <f>+ROUNDUP((S15*S16),2)</f>
        <v>13.799999999999999</v>
      </c>
      <c r="T17" s="49">
        <f t="shared" ref="T17:U17" si="3">+ROUNDUP((T15*T16),2)</f>
        <v>55.21</v>
      </c>
      <c r="U17" s="49">
        <f t="shared" si="3"/>
        <v>519.29</v>
      </c>
      <c r="V17" s="56" t="s">
        <v>67</v>
      </c>
      <c r="W17" s="56" t="s">
        <v>61</v>
      </c>
      <c r="X17" s="81">
        <f t="shared" ref="X17:AB17" si="4">+ROUNDUP((X15*X16),2)</f>
        <v>11.35</v>
      </c>
      <c r="Y17" s="81">
        <f t="shared" si="4"/>
        <v>20</v>
      </c>
      <c r="Z17" s="81">
        <f t="shared" si="4"/>
        <v>42.14</v>
      </c>
      <c r="AA17" s="78">
        <v>67.3</v>
      </c>
      <c r="AB17" s="78">
        <v>145</v>
      </c>
      <c r="AC17" s="8"/>
    </row>
    <row r="18" spans="1:41" x14ac:dyDescent="0.2">
      <c r="A18" s="1"/>
      <c r="B18" s="51">
        <f>TRUNC(25.4347*(18-B17)^1.81)</f>
        <v>1001</v>
      </c>
      <c r="C18" s="51">
        <f>TRUNC(5.8425*(38-C17)^1.81)</f>
        <v>1000</v>
      </c>
      <c r="D18" s="51">
        <f>TRUNC(1.53775*(82-D17)^1.81)</f>
        <v>1000</v>
      </c>
      <c r="E18" s="51">
        <f>TRUNC(0.36072*(180-E17)^1.85)</f>
        <v>1001</v>
      </c>
      <c r="F18" s="51">
        <f>TRUNC(0.03768*(480-F17)^1.85)</f>
        <v>1000</v>
      </c>
      <c r="G18" s="51">
        <f>TRUNC(0.01923*(830-G17)^1.85)</f>
        <v>1000</v>
      </c>
      <c r="H18" s="51">
        <f>TRUNC(0.00773*(1400-H17)^1.85)</f>
        <v>1000</v>
      </c>
      <c r="I18" s="51">
        <f>TRUNC(0.0017869*(3000-I17)^1.85)</f>
        <v>1000</v>
      </c>
      <c r="J18" s="51">
        <f>TRUNC(0.14354*(J17-220)^1.4)</f>
        <v>1000</v>
      </c>
      <c r="K18" s="51">
        <f>TRUNC(0.06533*(K17-640)^1.4)</f>
        <v>1000</v>
      </c>
      <c r="L18" s="51">
        <f>TRUNC(0.8465*(L17-75)^1.42)</f>
        <v>1002</v>
      </c>
      <c r="M18" s="51">
        <f>TRUNC(0.2797*(M17-100)^1.35)</f>
        <v>1001</v>
      </c>
      <c r="N18" s="51">
        <f>TRUNC(12.91*(N17-4)^1.1)</f>
        <v>1000</v>
      </c>
      <c r="O18" s="51">
        <f>TRUNC(51.39*(O17-1.5)^1.05)</f>
        <v>1000</v>
      </c>
      <c r="P18" s="51">
        <f>TRUNC(10.14*(P17-7)^1.08)</f>
        <v>1000</v>
      </c>
      <c r="Q18" s="51">
        <f>TRUNC(13.0449*(Q17-7)^1.05)</f>
        <v>1000</v>
      </c>
      <c r="R18" s="51">
        <f>TRUNC(47.8338*(R17-1.5)^1.05)</f>
        <v>1000</v>
      </c>
      <c r="S18" s="51">
        <f>TRUNC(5.74352*(28.5-S17)^1.92)</f>
        <v>1000</v>
      </c>
      <c r="T18" s="51">
        <f>TRUNC(1.466*(92-T17)^1.81)</f>
        <v>1000</v>
      </c>
      <c r="U18" s="51">
        <f>TRUNC(0.01431*(935-U17)^1.85)</f>
        <v>1000</v>
      </c>
      <c r="V18" s="57" t="s">
        <v>68</v>
      </c>
      <c r="W18" s="57" t="s">
        <v>62</v>
      </c>
      <c r="X18" s="82">
        <v>1000</v>
      </c>
      <c r="Y18" s="82">
        <v>1000</v>
      </c>
      <c r="Z18" s="82">
        <v>1000</v>
      </c>
      <c r="AA18" s="82">
        <v>1000</v>
      </c>
      <c r="AB18" s="82">
        <v>1000</v>
      </c>
      <c r="AC18" s="7"/>
      <c r="AD18" s="11"/>
      <c r="AE18" s="11"/>
    </row>
    <row r="19" spans="1:41" x14ac:dyDescent="0.2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63"/>
      <c r="M19" s="48"/>
      <c r="N19" s="48"/>
      <c r="O19" s="48"/>
      <c r="P19" s="48"/>
      <c r="Q19" s="48"/>
      <c r="R19" s="48"/>
      <c r="S19" s="53"/>
      <c r="T19" s="48"/>
      <c r="U19" s="48"/>
      <c r="V19" s="38"/>
      <c r="W19" s="38"/>
      <c r="X19" s="83"/>
      <c r="Y19" s="83"/>
      <c r="Z19" s="83"/>
      <c r="AA19" s="83"/>
      <c r="AB19" s="83"/>
      <c r="AC19" s="4"/>
    </row>
    <row r="20" spans="1:41" x14ac:dyDescent="0.2">
      <c r="A20" s="4">
        <v>40</v>
      </c>
      <c r="B20" s="46">
        <v>10.74</v>
      </c>
      <c r="C20" s="45">
        <v>21.99</v>
      </c>
      <c r="D20" s="46">
        <v>48.52</v>
      </c>
      <c r="E20" s="45">
        <v>112</v>
      </c>
      <c r="F20" s="46">
        <v>245.2</v>
      </c>
      <c r="G20" s="46">
        <v>493.8</v>
      </c>
      <c r="H20" s="45">
        <v>845.4</v>
      </c>
      <c r="I20" s="45">
        <v>1806.3</v>
      </c>
      <c r="J20" s="47">
        <v>708</v>
      </c>
      <c r="K20" s="47">
        <v>1532</v>
      </c>
      <c r="L20" s="47">
        <v>208</v>
      </c>
      <c r="M20" s="47">
        <v>495</v>
      </c>
      <c r="N20" s="46">
        <v>55.14</v>
      </c>
      <c r="O20" s="46">
        <v>16.55</v>
      </c>
      <c r="P20" s="46">
        <v>68.819999999999993</v>
      </c>
      <c r="Q20" s="46">
        <v>66.099999999999994</v>
      </c>
      <c r="R20" s="46">
        <v>18.38</v>
      </c>
      <c r="S20" s="46">
        <v>14.36</v>
      </c>
      <c r="T20" s="46">
        <v>58.93</v>
      </c>
      <c r="U20" s="45">
        <v>543.70000000000005</v>
      </c>
      <c r="V20" s="55" t="s">
        <v>65</v>
      </c>
      <c r="W20" s="55" t="s">
        <v>59</v>
      </c>
      <c r="X20" s="80">
        <v>12.35</v>
      </c>
      <c r="Y20" s="80">
        <v>21.35</v>
      </c>
      <c r="Z20" s="80">
        <v>44.5</v>
      </c>
      <c r="AA20" s="80">
        <v>70</v>
      </c>
      <c r="AB20" s="80">
        <v>150</v>
      </c>
      <c r="AC20" s="6"/>
      <c r="AF20" s="6"/>
      <c r="AG20" s="7"/>
      <c r="AH20" s="6"/>
      <c r="AI20" s="7"/>
      <c r="AJ20" s="6"/>
      <c r="AK20" s="6"/>
      <c r="AL20" s="6"/>
      <c r="AM20" s="7"/>
      <c r="AN20" s="6"/>
      <c r="AO20" s="6"/>
    </row>
    <row r="21" spans="1:41" x14ac:dyDescent="0.2">
      <c r="A21" s="2"/>
      <c r="B21" s="59">
        <v>0.96679999999999999</v>
      </c>
      <c r="C21" s="59">
        <v>0.94820000000000004</v>
      </c>
      <c r="D21" s="59">
        <v>0.95130000000000003</v>
      </c>
      <c r="E21" s="59">
        <v>0.95799999999999996</v>
      </c>
      <c r="F21" s="59">
        <v>0.95320000000000005</v>
      </c>
      <c r="G21" s="59">
        <v>0.96360000000000001</v>
      </c>
      <c r="H21" s="59">
        <v>0.97009999999999996</v>
      </c>
      <c r="I21" s="59">
        <v>0.95230000000000004</v>
      </c>
      <c r="J21" s="59">
        <v>1.0972</v>
      </c>
      <c r="K21" s="59">
        <v>1.0548999999999999</v>
      </c>
      <c r="L21" s="59">
        <v>1.0630999999999999</v>
      </c>
      <c r="M21" s="59">
        <v>1.0708</v>
      </c>
      <c r="N21" s="59">
        <v>1.0186999999999999</v>
      </c>
      <c r="O21" s="59">
        <v>1.1125</v>
      </c>
      <c r="P21" s="59">
        <v>1.1217999999999999</v>
      </c>
      <c r="Q21" s="59">
        <v>1.0496000000000001</v>
      </c>
      <c r="R21" s="59">
        <v>1.0668</v>
      </c>
      <c r="S21" s="59">
        <v>0.96089999999999998</v>
      </c>
      <c r="T21" s="59">
        <v>0.93659999999999999</v>
      </c>
      <c r="U21" s="59">
        <v>0.95540000000000003</v>
      </c>
      <c r="V21" s="60" t="s">
        <v>66</v>
      </c>
      <c r="W21" s="60" t="s">
        <v>60</v>
      </c>
      <c r="X21" s="76">
        <v>0.97660000000000002</v>
      </c>
      <c r="Y21" s="76">
        <v>0.96789999999999998</v>
      </c>
      <c r="Z21" s="76">
        <v>0.96240000000000003</v>
      </c>
      <c r="AA21" s="76">
        <v>0.96120000000000005</v>
      </c>
      <c r="AB21" s="76">
        <v>0.98040000000000005</v>
      </c>
      <c r="AC21" s="2"/>
    </row>
    <row r="22" spans="1:41" x14ac:dyDescent="0.2">
      <c r="A22" s="2"/>
      <c r="B22" s="49">
        <f t="shared" ref="B22:I22" si="5">+ROUNDUP((B20*B21),2)</f>
        <v>10.39</v>
      </c>
      <c r="C22" s="49">
        <f t="shared" si="5"/>
        <v>20.860000000000003</v>
      </c>
      <c r="D22" s="49">
        <f t="shared" si="5"/>
        <v>46.16</v>
      </c>
      <c r="E22" s="49">
        <f t="shared" si="5"/>
        <v>107.30000000000001</v>
      </c>
      <c r="F22" s="49">
        <f t="shared" si="5"/>
        <v>233.73</v>
      </c>
      <c r="G22" s="49">
        <f t="shared" si="5"/>
        <v>475.83</v>
      </c>
      <c r="H22" s="49">
        <f t="shared" si="5"/>
        <v>820.13</v>
      </c>
      <c r="I22" s="49">
        <f t="shared" si="5"/>
        <v>1720.14</v>
      </c>
      <c r="J22" s="50">
        <f>+TRUNC((J20*J21),0)</f>
        <v>776</v>
      </c>
      <c r="K22" s="50">
        <f>+TRUNC((K20*K21),0)</f>
        <v>1616</v>
      </c>
      <c r="L22" s="50">
        <f>+TRUNC((L20*L21),0)</f>
        <v>221</v>
      </c>
      <c r="M22" s="50">
        <f>+TRUNC((M20*M21),0)</f>
        <v>530</v>
      </c>
      <c r="N22" s="49">
        <f>+TRUNC((N20*N21),2)</f>
        <v>56.17</v>
      </c>
      <c r="O22" s="49">
        <f>+TRUNC((O20*O21),2)</f>
        <v>18.41</v>
      </c>
      <c r="P22" s="49">
        <f>+TRUNC((P20*P21),2)</f>
        <v>77.2</v>
      </c>
      <c r="Q22" s="49">
        <f>+TRUNC((Q20*Q21),2)</f>
        <v>69.37</v>
      </c>
      <c r="R22" s="49">
        <f>+TRUNC((R20*R21),2)</f>
        <v>19.600000000000001</v>
      </c>
      <c r="S22" s="49">
        <f>+ROUNDUP((S20*S21),2)</f>
        <v>13.799999999999999</v>
      </c>
      <c r="T22" s="49">
        <f t="shared" ref="T22:U22" si="6">+ROUNDUP((T20*T21),2)</f>
        <v>55.199999999999996</v>
      </c>
      <c r="U22" s="49">
        <f t="shared" si="6"/>
        <v>519.46</v>
      </c>
      <c r="V22" s="56" t="s">
        <v>67</v>
      </c>
      <c r="W22" s="56" t="s">
        <v>61</v>
      </c>
      <c r="X22" s="81">
        <f t="shared" ref="X22:AB22" si="7">+ROUNDUP((X20*X21),2)</f>
        <v>12.07</v>
      </c>
      <c r="Y22" s="81">
        <f t="shared" si="7"/>
        <v>20.67</v>
      </c>
      <c r="Z22" s="81">
        <f t="shared" si="7"/>
        <v>42.83</v>
      </c>
      <c r="AA22" s="81">
        <f t="shared" si="7"/>
        <v>67.290000000000006</v>
      </c>
      <c r="AB22" s="81">
        <f t="shared" si="7"/>
        <v>147.06</v>
      </c>
      <c r="AC22" s="8"/>
    </row>
    <row r="23" spans="1:41" x14ac:dyDescent="0.2">
      <c r="A23" s="7"/>
      <c r="B23" s="51">
        <f>TRUNC(25.4347*(18-B22)^1.81)</f>
        <v>1001</v>
      </c>
      <c r="C23" s="51">
        <f>TRUNC(5.8425*(38-C22)^1.81)</f>
        <v>1000</v>
      </c>
      <c r="D23" s="51">
        <f>TRUNC(1.53775*(82-D22)^1.81)</f>
        <v>1000</v>
      </c>
      <c r="E23" s="51">
        <f>TRUNC(0.36072*(180-E22)^1.85)</f>
        <v>1002</v>
      </c>
      <c r="F23" s="51">
        <f>TRUNC(0.03768*(480-F22)^1.85)</f>
        <v>1000</v>
      </c>
      <c r="G23" s="51">
        <f>TRUNC(0.01923*(830-G22)^1.85)</f>
        <v>1000</v>
      </c>
      <c r="H23" s="51">
        <f>TRUNC(0.00773*(1400-H22)^1.85)</f>
        <v>1000</v>
      </c>
      <c r="I23" s="51">
        <f>TRUNC(0.0017869*(3000-I22)^1.85)</f>
        <v>1000</v>
      </c>
      <c r="J23" s="51">
        <f>TRUNC(0.14354*(J22-220)^1.4)</f>
        <v>1000</v>
      </c>
      <c r="K23" s="51">
        <f>TRUNC(0.06533*(K22-640)^1.4)</f>
        <v>1000</v>
      </c>
      <c r="L23" s="51">
        <f>TRUNC(0.8465*(L22-75)^1.42)</f>
        <v>1002</v>
      </c>
      <c r="M23" s="51">
        <f>TRUNC(0.2797*(M22-100)^1.35)</f>
        <v>1004</v>
      </c>
      <c r="N23" s="51">
        <f>TRUNC(12.91*(N22-4)^1.1)</f>
        <v>1000</v>
      </c>
      <c r="O23" s="51">
        <f>TRUNC(51.39*(O22-1.5)^1.05)</f>
        <v>1000</v>
      </c>
      <c r="P23" s="51">
        <f>TRUNC(10.14*(P22-7)^1.08)</f>
        <v>1000</v>
      </c>
      <c r="Q23" s="51">
        <f>TRUNC(13.0449*(Q22-7)^1.05)</f>
        <v>1000</v>
      </c>
      <c r="R23" s="51">
        <f>TRUNC(47.8338*(R22-1.5)^1.05)</f>
        <v>1000</v>
      </c>
      <c r="S23" s="51">
        <f>TRUNC(5.74352*(28.5-S22)^1.92)</f>
        <v>1000</v>
      </c>
      <c r="T23" s="51">
        <f>TRUNC(1.466*(92-T22)^1.81)</f>
        <v>1000</v>
      </c>
      <c r="U23" s="51">
        <f>TRUNC(0.01431*(935-U22)^1.85)</f>
        <v>1000</v>
      </c>
      <c r="V23" s="57" t="s">
        <v>68</v>
      </c>
      <c r="W23" s="57" t="s">
        <v>62</v>
      </c>
      <c r="X23" s="82">
        <v>1000</v>
      </c>
      <c r="Y23" s="82">
        <v>1000</v>
      </c>
      <c r="Z23" s="82">
        <v>1000</v>
      </c>
      <c r="AA23" s="82">
        <v>1000</v>
      </c>
      <c r="AB23" s="82">
        <v>1000</v>
      </c>
      <c r="AC23" s="7"/>
      <c r="AD23" s="11"/>
      <c r="AE23" s="11"/>
      <c r="AG23" s="32"/>
    </row>
    <row r="24" spans="1:41" x14ac:dyDescent="0.2">
      <c r="A24" s="5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53"/>
      <c r="T24" s="48"/>
      <c r="U24" s="48"/>
      <c r="V24" s="38"/>
      <c r="W24" s="38"/>
      <c r="X24" s="83"/>
      <c r="Y24" s="83"/>
      <c r="Z24" s="83"/>
      <c r="AA24" s="83"/>
      <c r="AB24" s="83"/>
      <c r="AC24" s="4"/>
    </row>
    <row r="25" spans="1:41" x14ac:dyDescent="0.2">
      <c r="A25" s="4">
        <v>45</v>
      </c>
      <c r="B25" s="46">
        <v>11.11</v>
      </c>
      <c r="C25" s="45">
        <v>22.72</v>
      </c>
      <c r="D25" s="46">
        <v>50.12</v>
      </c>
      <c r="E25" s="45">
        <v>116.6</v>
      </c>
      <c r="F25" s="46">
        <v>253.9</v>
      </c>
      <c r="G25" s="46">
        <v>513</v>
      </c>
      <c r="H25" s="45">
        <v>882</v>
      </c>
      <c r="I25" s="45">
        <v>1879</v>
      </c>
      <c r="J25" s="47">
        <v>669</v>
      </c>
      <c r="K25" s="47">
        <v>1451</v>
      </c>
      <c r="L25" s="47">
        <v>198</v>
      </c>
      <c r="M25" s="47">
        <v>467</v>
      </c>
      <c r="N25" s="46">
        <v>51.76</v>
      </c>
      <c r="O25" s="46">
        <v>15.51</v>
      </c>
      <c r="P25" s="46">
        <v>63.78</v>
      </c>
      <c r="Q25" s="46">
        <v>62</v>
      </c>
      <c r="R25" s="46">
        <v>17.18</v>
      </c>
      <c r="S25" s="46">
        <v>14.92</v>
      </c>
      <c r="T25" s="46">
        <v>61.55</v>
      </c>
      <c r="U25" s="45">
        <v>568.20000000000005</v>
      </c>
      <c r="V25" s="55" t="s">
        <v>65</v>
      </c>
      <c r="W25" s="55" t="s">
        <v>59</v>
      </c>
      <c r="X25" s="80">
        <v>13</v>
      </c>
      <c r="Y25" s="80">
        <v>22.25</v>
      </c>
      <c r="Z25" s="80">
        <v>46.1</v>
      </c>
      <c r="AA25" s="80">
        <v>72.45</v>
      </c>
      <c r="AB25" s="80">
        <v>151</v>
      </c>
      <c r="AC25" s="6"/>
      <c r="AF25" s="6"/>
      <c r="AG25" s="7"/>
      <c r="AH25" s="6"/>
      <c r="AI25" s="7"/>
      <c r="AJ25" s="6"/>
      <c r="AK25" s="6"/>
      <c r="AL25" s="6"/>
      <c r="AM25" s="7"/>
      <c r="AN25" s="6"/>
      <c r="AO25" s="6"/>
    </row>
    <row r="26" spans="1:41" x14ac:dyDescent="0.2">
      <c r="A26" s="2"/>
      <c r="B26" s="59">
        <v>0.9345</v>
      </c>
      <c r="C26" s="59">
        <v>0.91790000000000005</v>
      </c>
      <c r="D26" s="59">
        <v>0.92079999999999995</v>
      </c>
      <c r="E26" s="59">
        <v>0.92049999999999998</v>
      </c>
      <c r="F26" s="59">
        <v>0.92059999999999997</v>
      </c>
      <c r="G26" s="59">
        <v>0.92720000000000002</v>
      </c>
      <c r="H26" s="59">
        <v>0.92989999999999995</v>
      </c>
      <c r="I26" s="59">
        <v>0.91549999999999998</v>
      </c>
      <c r="J26" s="59">
        <v>1.1608000000000001</v>
      </c>
      <c r="K26" s="59">
        <v>1.1141000000000001</v>
      </c>
      <c r="L26" s="59">
        <v>1.1158999999999999</v>
      </c>
      <c r="M26" s="59">
        <v>1.1351</v>
      </c>
      <c r="N26" s="59">
        <v>1.0855999999999999</v>
      </c>
      <c r="O26" s="59">
        <v>1.1867000000000001</v>
      </c>
      <c r="P26" s="59">
        <v>1.2110000000000001</v>
      </c>
      <c r="Q26" s="59">
        <v>1.119</v>
      </c>
      <c r="R26" s="59">
        <v>1.1405000000000001</v>
      </c>
      <c r="S26" s="59">
        <v>0.9244</v>
      </c>
      <c r="T26" s="59">
        <v>0.89670000000000005</v>
      </c>
      <c r="U26" s="59">
        <v>0.91420000000000001</v>
      </c>
      <c r="V26" s="60" t="s">
        <v>66</v>
      </c>
      <c r="W26" s="60" t="s">
        <v>60</v>
      </c>
      <c r="X26" s="76">
        <v>0.94079999999999997</v>
      </c>
      <c r="Y26" s="76">
        <v>0.93389999999999995</v>
      </c>
      <c r="Z26" s="76">
        <v>0.93179999999999996</v>
      </c>
      <c r="AA26" s="76">
        <v>0.92720000000000002</v>
      </c>
      <c r="AB26" s="76">
        <v>0.94450000000000001</v>
      </c>
      <c r="AC26" s="2"/>
    </row>
    <row r="27" spans="1:41" x14ac:dyDescent="0.2">
      <c r="A27" s="2"/>
      <c r="B27" s="49">
        <f t="shared" ref="B27:I27" si="8">+ROUNDUP((B25*B26),2)</f>
        <v>10.39</v>
      </c>
      <c r="C27" s="49">
        <f t="shared" si="8"/>
        <v>20.860000000000003</v>
      </c>
      <c r="D27" s="49">
        <f t="shared" si="8"/>
        <v>46.16</v>
      </c>
      <c r="E27" s="49">
        <f t="shared" si="8"/>
        <v>107.34</v>
      </c>
      <c r="F27" s="49">
        <f t="shared" si="8"/>
        <v>233.75</v>
      </c>
      <c r="G27" s="49">
        <f t="shared" si="8"/>
        <v>475.65999999999997</v>
      </c>
      <c r="H27" s="49">
        <f t="shared" si="8"/>
        <v>820.18</v>
      </c>
      <c r="I27" s="49">
        <f t="shared" si="8"/>
        <v>1720.23</v>
      </c>
      <c r="J27" s="50">
        <f>+TRUNC((J25*J26),0)</f>
        <v>776</v>
      </c>
      <c r="K27" s="50">
        <f>+TRUNC((K25*K26),0)</f>
        <v>1616</v>
      </c>
      <c r="L27" s="50">
        <f>+TRUNC((L25*L26),0)</f>
        <v>220</v>
      </c>
      <c r="M27" s="50">
        <f>+TRUNC((M25*M26),0)</f>
        <v>530</v>
      </c>
      <c r="N27" s="49">
        <f>+TRUNC((N25*N26),2)</f>
        <v>56.19</v>
      </c>
      <c r="O27" s="49">
        <f>+TRUNC((O25*O26),2)</f>
        <v>18.399999999999999</v>
      </c>
      <c r="P27" s="49">
        <f>+TRUNC((P25*P26),2)</f>
        <v>77.23</v>
      </c>
      <c r="Q27" s="49">
        <f>+TRUNC((Q25*Q26),2)</f>
        <v>69.37</v>
      </c>
      <c r="R27" s="49">
        <f>+TRUNC((R25*R26),2)</f>
        <v>19.59</v>
      </c>
      <c r="S27" s="49">
        <f>+ROUNDUP((S25*S26),2)</f>
        <v>13.799999999999999</v>
      </c>
      <c r="T27" s="49">
        <f t="shared" ref="T27:U27" si="9">+ROUNDUP((T25*T26),2)</f>
        <v>55.199999999999996</v>
      </c>
      <c r="U27" s="49">
        <f t="shared" si="9"/>
        <v>519.45000000000005</v>
      </c>
      <c r="V27" s="56" t="s">
        <v>67</v>
      </c>
      <c r="W27" s="56" t="s">
        <v>61</v>
      </c>
      <c r="X27" s="81">
        <f t="shared" ref="X27:AB27" si="10">+ROUNDUP((X25*X26),2)</f>
        <v>12.24</v>
      </c>
      <c r="Y27" s="81">
        <f t="shared" si="10"/>
        <v>20.78</v>
      </c>
      <c r="Z27" s="81">
        <f t="shared" si="10"/>
        <v>42.96</v>
      </c>
      <c r="AA27" s="81">
        <f t="shared" si="10"/>
        <v>67.180000000000007</v>
      </c>
      <c r="AB27" s="81">
        <f t="shared" si="10"/>
        <v>142.62</v>
      </c>
      <c r="AC27" s="8"/>
    </row>
    <row r="28" spans="1:41" x14ac:dyDescent="0.2">
      <c r="A28" s="1"/>
      <c r="B28" s="51">
        <f>TRUNC(25.4347*(18-B27)^1.81)</f>
        <v>1001</v>
      </c>
      <c r="C28" s="51">
        <f>TRUNC(5.8425*(38-C27)^1.81)</f>
        <v>1000</v>
      </c>
      <c r="D28" s="51">
        <f>TRUNC(1.53775*(82-D27)^1.81)</f>
        <v>1000</v>
      </c>
      <c r="E28" s="51">
        <f>TRUNC(0.36072*(180-E27)^1.85)</f>
        <v>1001</v>
      </c>
      <c r="F28" s="51">
        <f>TRUNC(0.03768*(480-F27)^1.85)</f>
        <v>1000</v>
      </c>
      <c r="G28" s="51">
        <f>TRUNC(0.01923*(830-G27)^1.85)</f>
        <v>1000</v>
      </c>
      <c r="H28" s="51">
        <f>TRUNC(0.00773*(1400-H27)^1.85)</f>
        <v>1000</v>
      </c>
      <c r="I28" s="51">
        <f>TRUNC(0.0017869*(3000-I27)^1.85)</f>
        <v>1000</v>
      </c>
      <c r="J28" s="51">
        <f>TRUNC(0.14354*(J27-220)^1.4)</f>
        <v>1000</v>
      </c>
      <c r="K28" s="51">
        <f>TRUNC(0.06533*(K27-640)^1.4)</f>
        <v>1000</v>
      </c>
      <c r="L28" s="51">
        <f>TRUNC(0.8465*(L27-75)^1.42)</f>
        <v>992</v>
      </c>
      <c r="M28" s="51">
        <f>TRUNC(0.2797*(M27-100)^1.35)</f>
        <v>1004</v>
      </c>
      <c r="N28" s="51">
        <f>TRUNC(12.91*(N27-4)^1.1)</f>
        <v>1000</v>
      </c>
      <c r="O28" s="51">
        <f>TRUNC(51.39*(O27-1.5)^1.05)</f>
        <v>1000</v>
      </c>
      <c r="P28" s="51">
        <f>TRUNC(10.14*(P27-7)^1.08)</f>
        <v>1000</v>
      </c>
      <c r="Q28" s="51">
        <f>TRUNC(13.0449*(Q27-7)^1.05)</f>
        <v>1000</v>
      </c>
      <c r="R28" s="51">
        <f>TRUNC(47.8338*(R27-1.5)^1.05)</f>
        <v>1000</v>
      </c>
      <c r="S28" s="51">
        <f>TRUNC(5.74352*(28.5-S27)^1.92)</f>
        <v>1000</v>
      </c>
      <c r="T28" s="51">
        <f>TRUNC(1.466*(92-T27)^1.81)</f>
        <v>1000</v>
      </c>
      <c r="U28" s="51">
        <f>TRUNC(0.01431*(935-U27)^1.85)</f>
        <v>1000</v>
      </c>
      <c r="V28" s="57" t="s">
        <v>68</v>
      </c>
      <c r="W28" s="57" t="s">
        <v>62</v>
      </c>
      <c r="X28" s="82">
        <v>1000</v>
      </c>
      <c r="Y28" s="82">
        <v>1000</v>
      </c>
      <c r="Z28" s="82">
        <v>1000</v>
      </c>
      <c r="AA28" s="82">
        <v>1000</v>
      </c>
      <c r="AB28" s="82">
        <v>1000</v>
      </c>
      <c r="AC28" s="7"/>
      <c r="AD28" s="11"/>
      <c r="AE28" s="11"/>
    </row>
    <row r="29" spans="1:4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52"/>
      <c r="T29" s="48"/>
      <c r="U29" s="48"/>
      <c r="V29" s="38"/>
      <c r="W29" s="38"/>
      <c r="X29" s="83"/>
      <c r="Y29" s="83"/>
      <c r="Z29" s="83"/>
      <c r="AA29" s="83"/>
      <c r="AB29" s="83"/>
      <c r="AC29" s="2"/>
    </row>
    <row r="30" spans="1:41" x14ac:dyDescent="0.2">
      <c r="A30" s="4">
        <v>50</v>
      </c>
      <c r="B30" s="46">
        <v>11.5</v>
      </c>
      <c r="C30" s="45">
        <v>23.48</v>
      </c>
      <c r="D30" s="46">
        <v>51.81</v>
      </c>
      <c r="E30" s="45">
        <v>121.4</v>
      </c>
      <c r="F30" s="46">
        <v>263.39999999999998</v>
      </c>
      <c r="G30" s="46">
        <v>534.5</v>
      </c>
      <c r="H30" s="45">
        <v>921.5</v>
      </c>
      <c r="I30" s="45">
        <v>1956.5</v>
      </c>
      <c r="J30" s="47">
        <v>631</v>
      </c>
      <c r="K30" s="47">
        <v>1369</v>
      </c>
      <c r="L30" s="47">
        <v>189</v>
      </c>
      <c r="M30" s="47">
        <v>439</v>
      </c>
      <c r="N30" s="46">
        <v>55.76</v>
      </c>
      <c r="O30" s="46">
        <v>15.94</v>
      </c>
      <c r="P30" s="46">
        <v>62.81</v>
      </c>
      <c r="Q30" s="46">
        <v>63.6</v>
      </c>
      <c r="R30" s="46">
        <v>19.64</v>
      </c>
      <c r="S30" s="46">
        <v>14.28</v>
      </c>
      <c r="T30" s="46">
        <v>64.42</v>
      </c>
      <c r="U30" s="45">
        <v>595</v>
      </c>
      <c r="V30" s="55" t="s">
        <v>65</v>
      </c>
      <c r="W30" s="55" t="s">
        <v>59</v>
      </c>
      <c r="X30" s="80">
        <v>13.3</v>
      </c>
      <c r="Y30" s="80">
        <v>23.3</v>
      </c>
      <c r="Z30" s="80">
        <v>48.05</v>
      </c>
      <c r="AA30" s="80">
        <v>76</v>
      </c>
      <c r="AB30" s="80">
        <v>158</v>
      </c>
      <c r="AC30" s="6"/>
      <c r="AF30" s="6"/>
      <c r="AG30" s="7"/>
      <c r="AH30" s="6"/>
      <c r="AI30" s="7"/>
      <c r="AJ30" s="6"/>
      <c r="AK30" s="6"/>
      <c r="AL30" s="6"/>
      <c r="AM30" s="7"/>
      <c r="AN30" s="6"/>
      <c r="AO30" s="6"/>
    </row>
    <row r="31" spans="1:41" x14ac:dyDescent="0.2">
      <c r="A31" s="2"/>
      <c r="B31" s="59">
        <v>0.90310000000000001</v>
      </c>
      <c r="C31" s="59">
        <v>0.88829999999999998</v>
      </c>
      <c r="D31" s="59">
        <v>0.89090000000000003</v>
      </c>
      <c r="E31" s="59">
        <v>0.88419999999999999</v>
      </c>
      <c r="F31" s="59">
        <v>0.8871</v>
      </c>
      <c r="G31" s="59">
        <v>0.8901</v>
      </c>
      <c r="H31" s="59">
        <v>0.89</v>
      </c>
      <c r="I31" s="59">
        <v>0.87929999999999997</v>
      </c>
      <c r="J31" s="59">
        <v>1.2299</v>
      </c>
      <c r="K31" s="59">
        <v>1.1805000000000001</v>
      </c>
      <c r="L31" s="59">
        <v>1.1724000000000001</v>
      </c>
      <c r="M31" s="59">
        <v>1.2070000000000001</v>
      </c>
      <c r="N31" s="59">
        <v>1.0078</v>
      </c>
      <c r="O31" s="59">
        <v>1.1551</v>
      </c>
      <c r="P31" s="59">
        <v>1.2293000000000001</v>
      </c>
      <c r="Q31" s="59">
        <v>1.0911</v>
      </c>
      <c r="R31" s="59">
        <v>0.99780000000000002</v>
      </c>
      <c r="S31" s="59">
        <v>0.96619999999999995</v>
      </c>
      <c r="T31" s="59">
        <v>0.85680000000000001</v>
      </c>
      <c r="U31" s="59">
        <v>0.873</v>
      </c>
      <c r="V31" s="60" t="s">
        <v>66</v>
      </c>
      <c r="W31" s="60" t="s">
        <v>60</v>
      </c>
      <c r="X31" s="76">
        <v>0.90410000000000001</v>
      </c>
      <c r="Y31" s="76">
        <v>0.89829999999999999</v>
      </c>
      <c r="Z31" s="76">
        <v>0.89949999999999997</v>
      </c>
      <c r="AA31" s="76">
        <v>0.89339999999999997</v>
      </c>
      <c r="AB31" s="76">
        <v>0.90790000000000004</v>
      </c>
      <c r="AC31" s="2"/>
    </row>
    <row r="32" spans="1:41" x14ac:dyDescent="0.2">
      <c r="A32" s="2"/>
      <c r="B32" s="49">
        <f t="shared" ref="B32:I32" si="11">+ROUNDUP((B30*B31),2)</f>
        <v>10.39</v>
      </c>
      <c r="C32" s="49">
        <f t="shared" si="11"/>
        <v>20.860000000000003</v>
      </c>
      <c r="D32" s="49">
        <f t="shared" si="11"/>
        <v>46.16</v>
      </c>
      <c r="E32" s="49">
        <f t="shared" si="11"/>
        <v>107.35000000000001</v>
      </c>
      <c r="F32" s="49">
        <f t="shared" si="11"/>
        <v>233.67</v>
      </c>
      <c r="G32" s="49">
        <f t="shared" si="11"/>
        <v>475.76</v>
      </c>
      <c r="H32" s="49">
        <f t="shared" si="11"/>
        <v>820.14</v>
      </c>
      <c r="I32" s="49">
        <f t="shared" si="11"/>
        <v>1720.36</v>
      </c>
      <c r="J32" s="50">
        <f>+TRUNC((J30*J31),0)</f>
        <v>776</v>
      </c>
      <c r="K32" s="50">
        <f>+TRUNC((K30*K31),0)</f>
        <v>1616</v>
      </c>
      <c r="L32" s="50">
        <f>+TRUNC((L30*L31),0)</f>
        <v>221</v>
      </c>
      <c r="M32" s="50">
        <f>+TRUNC((M30*M31),0)</f>
        <v>529</v>
      </c>
      <c r="N32" s="49">
        <f>+TRUNC((N30*N31),2)</f>
        <v>56.19</v>
      </c>
      <c r="O32" s="49">
        <f>+TRUNC((O30*O31),2)</f>
        <v>18.41</v>
      </c>
      <c r="P32" s="49">
        <f>+TRUNC((P30*P31),2)</f>
        <v>77.209999999999994</v>
      </c>
      <c r="Q32" s="49">
        <f>+TRUNC((Q30*Q31),2)</f>
        <v>69.39</v>
      </c>
      <c r="R32" s="49">
        <f>+TRUNC((R30*R31),2)</f>
        <v>19.59</v>
      </c>
      <c r="S32" s="49">
        <f>+ROUNDUP((S30*S31),2)</f>
        <v>13.799999999999999</v>
      </c>
      <c r="T32" s="49">
        <f t="shared" ref="T32:U32" si="12">+ROUNDUP((T30*T31),2)</f>
        <v>55.199999999999996</v>
      </c>
      <c r="U32" s="49">
        <f t="shared" si="12"/>
        <v>519.43999999999994</v>
      </c>
      <c r="V32" s="56" t="s">
        <v>67</v>
      </c>
      <c r="W32" s="56" t="s">
        <v>61</v>
      </c>
      <c r="X32" s="81">
        <f t="shared" ref="X32:AB32" si="13">+ROUNDUP((X30*X31),2)</f>
        <v>12.03</v>
      </c>
      <c r="Y32" s="81">
        <f t="shared" si="13"/>
        <v>20.94</v>
      </c>
      <c r="Z32" s="81">
        <f t="shared" si="13"/>
        <v>43.23</v>
      </c>
      <c r="AA32" s="81">
        <f t="shared" si="13"/>
        <v>67.900000000000006</v>
      </c>
      <c r="AB32" s="81">
        <f t="shared" si="13"/>
        <v>143.44999999999999</v>
      </c>
      <c r="AC32" s="8"/>
    </row>
    <row r="33" spans="1:41" x14ac:dyDescent="0.2">
      <c r="A33" s="1"/>
      <c r="B33" s="51">
        <f>TRUNC(25.4347*(18-B32)^1.81)</f>
        <v>1001</v>
      </c>
      <c r="C33" s="51">
        <f>TRUNC(5.8425*(38-C32)^1.81)</f>
        <v>1000</v>
      </c>
      <c r="D33" s="51">
        <f>TRUNC(1.53775*(82-D32)^1.81)</f>
        <v>1000</v>
      </c>
      <c r="E33" s="51">
        <f>TRUNC(0.36072*(180-E32)^1.85)</f>
        <v>1001</v>
      </c>
      <c r="F33" s="51">
        <f>TRUNC(0.03768*(480-F32)^1.85)</f>
        <v>1000</v>
      </c>
      <c r="G33" s="51">
        <f>TRUNC(0.01923*(830-G32)^1.85)</f>
        <v>1000</v>
      </c>
      <c r="H33" s="51">
        <f>TRUNC(0.00773*(1400-H32)^1.85)</f>
        <v>1000</v>
      </c>
      <c r="I33" s="51">
        <f>TRUNC(0.0017869*(3000-I32)^1.85)</f>
        <v>1000</v>
      </c>
      <c r="J33" s="51">
        <f>TRUNC(0.14354*(J32-220)^1.4)</f>
        <v>1000</v>
      </c>
      <c r="K33" s="51">
        <f>TRUNC(0.06533*(K32-640)^1.4)</f>
        <v>1000</v>
      </c>
      <c r="L33" s="51">
        <f>TRUNC(0.8465*(L32-75)^1.42)</f>
        <v>1002</v>
      </c>
      <c r="M33" s="51">
        <f>TRUNC(0.2797*(M32-100)^1.35)</f>
        <v>1001</v>
      </c>
      <c r="N33" s="51">
        <f>TRUNC(12.91*(N32-4)^1.1)</f>
        <v>1000</v>
      </c>
      <c r="O33" s="51">
        <f>TRUNC(51.39*(O32-1.5)^1.05)</f>
        <v>1000</v>
      </c>
      <c r="P33" s="51">
        <f>TRUNC(10.14*(P32-7)^1.08)</f>
        <v>1000</v>
      </c>
      <c r="Q33" s="51">
        <f>TRUNC(13.0449*(Q32-7)^1.05)</f>
        <v>1000</v>
      </c>
      <c r="R33" s="51">
        <f>TRUNC(47.8338*(R32-1.5)^1.05)</f>
        <v>1000</v>
      </c>
      <c r="S33" s="51">
        <f>TRUNC(5.74352*(28.5-S32)^1.92)</f>
        <v>1000</v>
      </c>
      <c r="T33" s="51">
        <f>TRUNC(1.466*(92-T32)^1.81)</f>
        <v>1000</v>
      </c>
      <c r="U33" s="51">
        <f>TRUNC(0.01431*(935-U32)^1.85)</f>
        <v>1000</v>
      </c>
      <c r="V33" s="57" t="s">
        <v>68</v>
      </c>
      <c r="W33" s="57" t="s">
        <v>62</v>
      </c>
      <c r="X33" s="82">
        <v>1000</v>
      </c>
      <c r="Y33" s="82">
        <v>1000</v>
      </c>
      <c r="Z33" s="82">
        <v>1000</v>
      </c>
      <c r="AA33" s="82">
        <v>1000</v>
      </c>
      <c r="AB33" s="82">
        <v>1000</v>
      </c>
      <c r="AC33" s="7"/>
      <c r="AD33" s="11"/>
      <c r="AE33" s="11"/>
      <c r="AG33" s="32"/>
    </row>
    <row r="34" spans="1:41" x14ac:dyDescent="0.2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52"/>
      <c r="T34" s="48"/>
      <c r="U34" s="48"/>
      <c r="V34" s="38"/>
      <c r="W34" s="38"/>
      <c r="X34" s="83"/>
      <c r="Y34" s="83"/>
      <c r="Z34" s="83"/>
      <c r="AA34" s="83"/>
      <c r="AB34" s="83"/>
      <c r="AC34" s="2"/>
    </row>
    <row r="35" spans="1:41" x14ac:dyDescent="0.2">
      <c r="A35" s="4">
        <v>55</v>
      </c>
      <c r="B35" s="46">
        <v>11.9</v>
      </c>
      <c r="C35" s="45">
        <v>24.27</v>
      </c>
      <c r="D35" s="46">
        <v>53.57</v>
      </c>
      <c r="E35" s="45">
        <v>126.5</v>
      </c>
      <c r="F35" s="46">
        <v>274.10000000000002</v>
      </c>
      <c r="G35" s="45">
        <v>558</v>
      </c>
      <c r="H35" s="45">
        <v>964.8</v>
      </c>
      <c r="I35" s="45">
        <v>2039</v>
      </c>
      <c r="J35" s="47">
        <v>595</v>
      </c>
      <c r="K35" s="47">
        <v>1288</v>
      </c>
      <c r="L35" s="47">
        <v>180</v>
      </c>
      <c r="M35" s="47">
        <v>411</v>
      </c>
      <c r="N35" s="46">
        <v>51.67</v>
      </c>
      <c r="O35" s="46">
        <v>14.82</v>
      </c>
      <c r="P35" s="46">
        <v>57.53</v>
      </c>
      <c r="Q35" s="46">
        <v>58.9</v>
      </c>
      <c r="R35" s="46">
        <v>18.309999999999999</v>
      </c>
      <c r="S35" s="46">
        <v>14.95</v>
      </c>
      <c r="T35" s="46">
        <v>67.569999999999993</v>
      </c>
      <c r="U35" s="45">
        <v>624.29999999999995</v>
      </c>
      <c r="V35" s="55" t="s">
        <v>65</v>
      </c>
      <c r="W35" s="55" t="s">
        <v>59</v>
      </c>
      <c r="X35" s="80">
        <v>14.1</v>
      </c>
      <c r="Y35" s="80">
        <v>24.3</v>
      </c>
      <c r="Z35" s="80">
        <v>50.3</v>
      </c>
      <c r="AA35" s="80">
        <v>69.3</v>
      </c>
      <c r="AB35" s="80">
        <v>167</v>
      </c>
      <c r="AC35" s="6"/>
      <c r="AF35" s="6"/>
      <c r="AG35" s="7"/>
      <c r="AH35" s="6"/>
      <c r="AI35" s="7"/>
      <c r="AJ35" s="6"/>
      <c r="AK35" s="6"/>
      <c r="AL35" s="6"/>
      <c r="AM35" s="7"/>
      <c r="AN35" s="6"/>
      <c r="AO35" s="6"/>
    </row>
    <row r="36" spans="1:41" x14ac:dyDescent="0.2">
      <c r="A36" s="2"/>
      <c r="B36" s="59">
        <v>0.87260000000000004</v>
      </c>
      <c r="C36" s="59">
        <v>0.85940000000000005</v>
      </c>
      <c r="D36" s="59">
        <v>0.86160000000000003</v>
      </c>
      <c r="E36" s="59">
        <v>0.84889999999999999</v>
      </c>
      <c r="F36" s="59">
        <v>0.85270000000000001</v>
      </c>
      <c r="G36" s="59">
        <v>0.85240000000000005</v>
      </c>
      <c r="H36" s="59">
        <v>0.85019999999999996</v>
      </c>
      <c r="I36" s="59">
        <v>0.84379999999999999</v>
      </c>
      <c r="J36" s="59">
        <v>1.3050999999999999</v>
      </c>
      <c r="K36" s="59">
        <v>1.2554000000000001</v>
      </c>
      <c r="L36" s="59">
        <v>1.2330000000000001</v>
      </c>
      <c r="M36" s="59">
        <v>1.2881</v>
      </c>
      <c r="N36" s="59">
        <v>1.0872999999999999</v>
      </c>
      <c r="O36" s="59">
        <v>1.242</v>
      </c>
      <c r="P36" s="59">
        <v>1.3425</v>
      </c>
      <c r="Q36" s="59">
        <v>1.1782999999999999</v>
      </c>
      <c r="R36" s="59">
        <v>1.0704</v>
      </c>
      <c r="S36" s="59">
        <v>0.92300000000000004</v>
      </c>
      <c r="T36" s="59">
        <v>0.81689999999999996</v>
      </c>
      <c r="U36" s="59">
        <v>0.83179999999999998</v>
      </c>
      <c r="V36" s="60" t="s">
        <v>66</v>
      </c>
      <c r="W36" s="60" t="s">
        <v>60</v>
      </c>
      <c r="X36" s="76">
        <v>0.86639999999999995</v>
      </c>
      <c r="Y36" s="76">
        <v>0.86140000000000005</v>
      </c>
      <c r="Z36" s="76">
        <v>0.86580000000000001</v>
      </c>
      <c r="AA36" s="76">
        <v>0.85980000000000001</v>
      </c>
      <c r="AB36" s="76">
        <v>0.87080000000000002</v>
      </c>
      <c r="AC36" s="2"/>
    </row>
    <row r="37" spans="1:41" x14ac:dyDescent="0.2">
      <c r="A37" s="2"/>
      <c r="B37" s="49">
        <f t="shared" ref="B37:I37" si="14">+ROUNDUP((B35*B36),2)</f>
        <v>10.39</v>
      </c>
      <c r="C37" s="49">
        <f t="shared" si="14"/>
        <v>20.860000000000003</v>
      </c>
      <c r="D37" s="49">
        <f t="shared" si="14"/>
        <v>46.16</v>
      </c>
      <c r="E37" s="49">
        <f t="shared" si="14"/>
        <v>107.39</v>
      </c>
      <c r="F37" s="49">
        <f t="shared" si="14"/>
        <v>233.73</v>
      </c>
      <c r="G37" s="49">
        <f t="shared" si="14"/>
        <v>475.64</v>
      </c>
      <c r="H37" s="49">
        <f t="shared" si="14"/>
        <v>820.28</v>
      </c>
      <c r="I37" s="49">
        <f t="shared" si="14"/>
        <v>1720.51</v>
      </c>
      <c r="J37" s="50">
        <f>+TRUNC((J35*J36),0)</f>
        <v>776</v>
      </c>
      <c r="K37" s="50">
        <f>+TRUNC((K35*K36),0)</f>
        <v>1616</v>
      </c>
      <c r="L37" s="50">
        <f>+TRUNC((L35*L36),0)</f>
        <v>221</v>
      </c>
      <c r="M37" s="50">
        <f>+TRUNC((M35*M36),0)</f>
        <v>529</v>
      </c>
      <c r="N37" s="49">
        <f>+TRUNC((N35*N36),2)</f>
        <v>56.18</v>
      </c>
      <c r="O37" s="49">
        <f>+TRUNC((O35*O36),2)</f>
        <v>18.399999999999999</v>
      </c>
      <c r="P37" s="49">
        <f>+TRUNC((P35*P36),2)</f>
        <v>77.23</v>
      </c>
      <c r="Q37" s="49">
        <f>+TRUNC((Q35*Q36),2)</f>
        <v>69.400000000000006</v>
      </c>
      <c r="R37" s="49">
        <f>+TRUNC((R35*R36),2)</f>
        <v>19.59</v>
      </c>
      <c r="S37" s="49">
        <f>+ROUNDUP((S35*S36),2)</f>
        <v>13.799999999999999</v>
      </c>
      <c r="T37" s="49">
        <f t="shared" ref="T37:U37" si="15">+ROUNDUP((T35*T36),2)</f>
        <v>55.199999999999996</v>
      </c>
      <c r="U37" s="49">
        <f t="shared" si="15"/>
        <v>519.29999999999995</v>
      </c>
      <c r="V37" s="56" t="s">
        <v>67</v>
      </c>
      <c r="W37" s="56" t="s">
        <v>61</v>
      </c>
      <c r="X37" s="81">
        <f t="shared" ref="X37:AB37" si="16">+ROUNDUP((X35*X36),2)</f>
        <v>12.22</v>
      </c>
      <c r="Y37" s="81">
        <f t="shared" si="16"/>
        <v>20.94</v>
      </c>
      <c r="Z37" s="81">
        <f t="shared" si="16"/>
        <v>43.55</v>
      </c>
      <c r="AA37" s="81">
        <f t="shared" si="16"/>
        <v>59.589999999999996</v>
      </c>
      <c r="AB37" s="81">
        <f t="shared" si="16"/>
        <v>145.42999999999998</v>
      </c>
      <c r="AC37" s="8"/>
    </row>
    <row r="38" spans="1:41" x14ac:dyDescent="0.2">
      <c r="A38" s="1"/>
      <c r="B38" s="51">
        <f>TRUNC(25.4347*(18-B37)^1.81)</f>
        <v>1001</v>
      </c>
      <c r="C38" s="51">
        <f>TRUNC(5.8425*(38-C37)^1.81)</f>
        <v>1000</v>
      </c>
      <c r="D38" s="51">
        <f>TRUNC(1.53775*(82-D37)^1.81)</f>
        <v>1000</v>
      </c>
      <c r="E38" s="51">
        <f>TRUNC(0.36072*(180-E37)^1.85)</f>
        <v>1000</v>
      </c>
      <c r="F38" s="51">
        <f>TRUNC(0.03768*(480-F37)^1.85)</f>
        <v>1000</v>
      </c>
      <c r="G38" s="51">
        <f>TRUNC(0.01923*(830-G37)^1.85)</f>
        <v>1001</v>
      </c>
      <c r="H38" s="51">
        <f>TRUNC(0.00773*(1400-H37)^1.85)</f>
        <v>1000</v>
      </c>
      <c r="I38" s="51">
        <f>TRUNC(0.0017869*(3000-I37)^1.85)</f>
        <v>1000</v>
      </c>
      <c r="J38" s="51">
        <f>TRUNC(0.14354*(J37-220)^1.4)</f>
        <v>1000</v>
      </c>
      <c r="K38" s="51">
        <f>TRUNC(0.06533*(K37-640)^1.4)</f>
        <v>1000</v>
      </c>
      <c r="L38" s="51">
        <f>TRUNC(0.8465*(L37-75)^1.42)</f>
        <v>1002</v>
      </c>
      <c r="M38" s="51">
        <f>TRUNC(0.2797*(M37-100)^1.35)</f>
        <v>1001</v>
      </c>
      <c r="N38" s="51">
        <f>TRUNC(12.91*(N37-4)^1.1)</f>
        <v>1000</v>
      </c>
      <c r="O38" s="51">
        <f>TRUNC(51.39*(O37-1.5)^1.05)</f>
        <v>1000</v>
      </c>
      <c r="P38" s="51">
        <f>TRUNC(10.14*(P37-7)^1.08)</f>
        <v>1000</v>
      </c>
      <c r="Q38" s="51">
        <f>TRUNC(13.0449*(Q37-7)^1.05)</f>
        <v>1000</v>
      </c>
      <c r="R38" s="51">
        <f>TRUNC(47.8338*(R37-1.5)^1.05)</f>
        <v>1000</v>
      </c>
      <c r="S38" s="51">
        <f>TRUNC(5.74352*(28.5-S37)^1.92)</f>
        <v>1000</v>
      </c>
      <c r="T38" s="51">
        <f>TRUNC(1.466*(92-T37)^1.81)</f>
        <v>1000</v>
      </c>
      <c r="U38" s="51">
        <f>TRUNC(0.01431*(935-U37)^1.85)</f>
        <v>1000</v>
      </c>
      <c r="V38" s="57" t="s">
        <v>68</v>
      </c>
      <c r="W38" s="57" t="s">
        <v>62</v>
      </c>
      <c r="X38" s="82">
        <v>1000</v>
      </c>
      <c r="Y38" s="82">
        <v>1000</v>
      </c>
      <c r="Z38" s="82">
        <v>1000</v>
      </c>
      <c r="AA38" s="82">
        <v>1000</v>
      </c>
      <c r="AB38" s="82">
        <v>1000</v>
      </c>
      <c r="AC38" s="7"/>
      <c r="AD38" s="11"/>
      <c r="AE38" s="31"/>
      <c r="AF38" s="14"/>
      <c r="AG38" s="33"/>
    </row>
    <row r="39" spans="1:41" x14ac:dyDescent="0.2">
      <c r="A39" t="s">
        <v>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52"/>
      <c r="T39" s="48"/>
      <c r="U39" s="48"/>
      <c r="V39" s="38"/>
      <c r="W39" s="38"/>
      <c r="X39" s="83"/>
      <c r="Y39" s="83"/>
      <c r="Z39" s="83"/>
      <c r="AA39" s="83"/>
      <c r="AB39" s="83"/>
      <c r="AC39" s="2"/>
    </row>
    <row r="40" spans="1:41" x14ac:dyDescent="0.2">
      <c r="A40" s="4">
        <v>60</v>
      </c>
      <c r="B40" s="46">
        <v>12.32</v>
      </c>
      <c r="C40" s="45">
        <v>25.09</v>
      </c>
      <c r="D40" s="46">
        <v>55.43</v>
      </c>
      <c r="E40" s="45">
        <v>131.80000000000001</v>
      </c>
      <c r="F40" s="46">
        <v>286</v>
      </c>
      <c r="G40" s="46">
        <v>584</v>
      </c>
      <c r="H40" s="45">
        <v>1012</v>
      </c>
      <c r="I40" s="45">
        <v>2127</v>
      </c>
      <c r="J40" s="47">
        <v>560</v>
      </c>
      <c r="K40" s="47">
        <v>1206</v>
      </c>
      <c r="L40" s="47">
        <v>171</v>
      </c>
      <c r="M40" s="47">
        <v>384</v>
      </c>
      <c r="N40" s="46">
        <v>58.23</v>
      </c>
      <c r="O40" s="46">
        <v>15.03</v>
      </c>
      <c r="P40" s="46">
        <v>56.45</v>
      </c>
      <c r="Q40" s="46">
        <v>59.25</v>
      </c>
      <c r="R40" s="46">
        <v>19.47</v>
      </c>
      <c r="S40" s="46">
        <v>14.59</v>
      </c>
      <c r="T40" s="46">
        <v>47.47</v>
      </c>
      <c r="U40" s="45">
        <v>411.8</v>
      </c>
      <c r="V40" s="55" t="s">
        <v>65</v>
      </c>
      <c r="W40" s="55" t="s">
        <v>59</v>
      </c>
      <c r="X40" s="80">
        <v>14.5</v>
      </c>
      <c r="Y40" s="80">
        <v>25.4</v>
      </c>
      <c r="Z40" s="80">
        <v>52.5</v>
      </c>
      <c r="AA40" s="80">
        <v>83.3</v>
      </c>
      <c r="AB40" s="80">
        <v>177</v>
      </c>
      <c r="AC40" s="6"/>
      <c r="AF40" s="6"/>
      <c r="AG40" s="7"/>
      <c r="AH40" s="6"/>
      <c r="AI40" s="7"/>
      <c r="AJ40" s="6"/>
      <c r="AK40" s="6"/>
      <c r="AL40" s="6"/>
      <c r="AM40" s="7"/>
      <c r="AN40" s="6"/>
      <c r="AO40" s="6"/>
    </row>
    <row r="41" spans="1:41" x14ac:dyDescent="0.2">
      <c r="A41" s="2"/>
      <c r="B41" s="59">
        <v>0.84289999999999998</v>
      </c>
      <c r="C41" s="59">
        <v>0.83120000000000005</v>
      </c>
      <c r="D41" s="59">
        <v>0.83289999999999997</v>
      </c>
      <c r="E41" s="59">
        <v>0.81469999999999998</v>
      </c>
      <c r="F41" s="59">
        <v>0.81740000000000002</v>
      </c>
      <c r="G41" s="59">
        <v>0.81410000000000005</v>
      </c>
      <c r="H41" s="59">
        <v>0.81059999999999999</v>
      </c>
      <c r="I41" s="59">
        <v>0.80889999999999995</v>
      </c>
      <c r="J41" s="59">
        <v>1.3875999999999999</v>
      </c>
      <c r="K41" s="59">
        <v>1.3405</v>
      </c>
      <c r="L41" s="59">
        <v>1.2981</v>
      </c>
      <c r="M41" s="59">
        <v>1.38</v>
      </c>
      <c r="N41" s="59">
        <v>0.96530000000000005</v>
      </c>
      <c r="O41" s="59">
        <v>1.2252000000000001</v>
      </c>
      <c r="P41" s="59">
        <v>1.3674999999999999</v>
      </c>
      <c r="Q41" s="59">
        <v>1.1709000000000001</v>
      </c>
      <c r="R41" s="59">
        <v>1.0071000000000001</v>
      </c>
      <c r="S41" s="59">
        <v>0.94569999999999999</v>
      </c>
      <c r="T41" s="59">
        <v>1.1628000000000001</v>
      </c>
      <c r="U41" s="59">
        <v>1.2613000000000001</v>
      </c>
      <c r="V41" s="60" t="s">
        <v>66</v>
      </c>
      <c r="W41" s="60" t="s">
        <v>60</v>
      </c>
      <c r="X41" s="76">
        <v>0.82779999999999998</v>
      </c>
      <c r="Y41" s="76">
        <v>0.82310000000000005</v>
      </c>
      <c r="Z41" s="76">
        <v>0.83069999999999999</v>
      </c>
      <c r="AA41" s="76">
        <v>0.82640000000000002</v>
      </c>
      <c r="AB41" s="76">
        <v>0.83309999999999995</v>
      </c>
      <c r="AC41" s="2"/>
    </row>
    <row r="42" spans="1:41" x14ac:dyDescent="0.2">
      <c r="A42" s="2"/>
      <c r="B42" s="49">
        <f t="shared" ref="B42:I42" si="17">+ROUNDUP((B40*B41),2)</f>
        <v>10.39</v>
      </c>
      <c r="C42" s="49">
        <f t="shared" si="17"/>
        <v>20.860000000000003</v>
      </c>
      <c r="D42" s="49">
        <f t="shared" si="17"/>
        <v>46.169999999999995</v>
      </c>
      <c r="E42" s="49">
        <f t="shared" si="17"/>
        <v>107.38000000000001</v>
      </c>
      <c r="F42" s="49">
        <f t="shared" si="17"/>
        <v>233.78</v>
      </c>
      <c r="G42" s="49">
        <f t="shared" si="17"/>
        <v>475.44</v>
      </c>
      <c r="H42" s="49">
        <f t="shared" si="17"/>
        <v>820.33</v>
      </c>
      <c r="I42" s="49">
        <f t="shared" si="17"/>
        <v>1720.54</v>
      </c>
      <c r="J42" s="50">
        <f>+TRUNC((J40*J41),0)</f>
        <v>777</v>
      </c>
      <c r="K42" s="50">
        <f>+TRUNC((K40*K41),0)</f>
        <v>1616</v>
      </c>
      <c r="L42" s="50">
        <f>+TRUNC((L40*L41),0)</f>
        <v>221</v>
      </c>
      <c r="M42" s="50">
        <f>+TRUNC((M40*M41),0)</f>
        <v>529</v>
      </c>
      <c r="N42" s="49">
        <f>+TRUNC((N40*N41),2)</f>
        <v>56.2</v>
      </c>
      <c r="O42" s="49">
        <f>+TRUNC((O40*O41),2)</f>
        <v>18.41</v>
      </c>
      <c r="P42" s="49">
        <f>+TRUNC((P40*P41),2)</f>
        <v>77.19</v>
      </c>
      <c r="Q42" s="49">
        <f>+TRUNC((Q40*Q41),2)</f>
        <v>69.37</v>
      </c>
      <c r="R42" s="49">
        <f>+TRUNC((R40*R41),2)</f>
        <v>19.600000000000001</v>
      </c>
      <c r="S42" s="49">
        <f>+ROUNDUP((S40*S41),2)</f>
        <v>13.799999999999999</v>
      </c>
      <c r="T42" s="49">
        <f t="shared" ref="T42" si="18">+ROUNDUP((T40*T41),2)</f>
        <v>55.199999999999996</v>
      </c>
      <c r="U42" s="49">
        <f t="shared" ref="U42" si="19">+ROUNDUP((U40*U41),2)</f>
        <v>519.41</v>
      </c>
      <c r="V42" s="56" t="s">
        <v>67</v>
      </c>
      <c r="W42" s="56" t="s">
        <v>61</v>
      </c>
      <c r="X42" s="81">
        <f t="shared" ref="X42:AB42" si="20">+ROUNDUP((X40*X41),2)</f>
        <v>12.01</v>
      </c>
      <c r="Y42" s="81">
        <f t="shared" si="20"/>
        <v>20.91</v>
      </c>
      <c r="Z42" s="81">
        <f t="shared" si="20"/>
        <v>43.62</v>
      </c>
      <c r="AA42" s="81">
        <f t="shared" si="20"/>
        <v>68.84</v>
      </c>
      <c r="AB42" s="81">
        <f t="shared" si="20"/>
        <v>147.45999999999998</v>
      </c>
      <c r="AC42" s="8"/>
    </row>
    <row r="43" spans="1:41" x14ac:dyDescent="0.2">
      <c r="A43" s="1"/>
      <c r="B43" s="51">
        <f>TRUNC(25.4347*(18-B42)^1.81)</f>
        <v>1001</v>
      </c>
      <c r="C43" s="51">
        <f>TRUNC(5.8425*(38-C42)^1.81)</f>
        <v>1000</v>
      </c>
      <c r="D43" s="51">
        <f>TRUNC(1.53775*(82-D42)^1.81)</f>
        <v>1000</v>
      </c>
      <c r="E43" s="51">
        <f>TRUNC(0.36072*(180-E42)^1.85)</f>
        <v>1000</v>
      </c>
      <c r="F43" s="51">
        <f>TRUNC(0.03768*(480-F42)^1.85)</f>
        <v>1000</v>
      </c>
      <c r="G43" s="51">
        <f>TRUNC(0.01923*(830-G42)^1.85)</f>
        <v>1002</v>
      </c>
      <c r="H43" s="51">
        <f>TRUNC(0.00773*(1400-H42)^1.85)</f>
        <v>1000</v>
      </c>
      <c r="I43" s="51">
        <f>TRUNC(0.0017869*(3000-I42)^1.85)</f>
        <v>1000</v>
      </c>
      <c r="J43" s="51">
        <f>TRUNC(0.14354*(J42-220)^1.4)</f>
        <v>1002</v>
      </c>
      <c r="K43" s="51">
        <f>TRUNC(0.06533*(K42-640)^1.4)</f>
        <v>1000</v>
      </c>
      <c r="L43" s="51">
        <f>TRUNC(0.8465*(L42-75)^1.42)</f>
        <v>1002</v>
      </c>
      <c r="M43" s="51">
        <f>TRUNC(0.2797*(M42-100)^1.35)</f>
        <v>1001</v>
      </c>
      <c r="N43" s="51">
        <f>TRUNC(12.91*(N42-4)^1.1)</f>
        <v>1000</v>
      </c>
      <c r="O43" s="51">
        <f>TRUNC(51.39*(O42-1.5)^1.05)</f>
        <v>1000</v>
      </c>
      <c r="P43" s="51">
        <f>TRUNC(10.14*(P42-7)^1.08)</f>
        <v>1000</v>
      </c>
      <c r="Q43" s="51">
        <f>TRUNC(13.0449*(Q42-7)^1.05)</f>
        <v>1000</v>
      </c>
      <c r="R43" s="51">
        <f>TRUNC(47.8338*(R42-1.5)^1.05)</f>
        <v>1000</v>
      </c>
      <c r="S43" s="51">
        <f>TRUNC(5.74352*(28.5-S42)^1.92)</f>
        <v>1000</v>
      </c>
      <c r="T43" s="51">
        <f>TRUNC(1.466*(92-T42)^1.81)</f>
        <v>1000</v>
      </c>
      <c r="U43" s="51">
        <f>TRUNC(0.01431*(935-U42)^1.85)</f>
        <v>1000</v>
      </c>
      <c r="V43" s="57" t="s">
        <v>68</v>
      </c>
      <c r="W43" s="57" t="s">
        <v>62</v>
      </c>
      <c r="X43" s="82">
        <v>1000</v>
      </c>
      <c r="Y43" s="82">
        <v>1000</v>
      </c>
      <c r="Z43" s="82">
        <v>1000</v>
      </c>
      <c r="AA43" s="82">
        <v>1000</v>
      </c>
      <c r="AB43" s="82">
        <v>1000</v>
      </c>
      <c r="AC43" s="7"/>
      <c r="AD43" s="11"/>
      <c r="AE43" s="31"/>
      <c r="AF43" s="14"/>
      <c r="AG43" s="32"/>
    </row>
    <row r="44" spans="1:41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52"/>
      <c r="T44" s="48"/>
      <c r="U44" s="48"/>
      <c r="V44" s="38"/>
      <c r="W44" s="38"/>
      <c r="X44" s="83"/>
      <c r="Y44" s="83"/>
      <c r="Z44" s="83"/>
      <c r="AA44" s="83"/>
      <c r="AB44" s="83"/>
      <c r="AC44" s="2"/>
    </row>
    <row r="45" spans="1:41" x14ac:dyDescent="0.2">
      <c r="A45" s="4">
        <v>65</v>
      </c>
      <c r="B45" s="46">
        <v>12.76</v>
      </c>
      <c r="C45" s="45">
        <v>25.95</v>
      </c>
      <c r="D45" s="46">
        <v>57.37</v>
      </c>
      <c r="E45" s="45">
        <v>137.4</v>
      </c>
      <c r="F45" s="46">
        <v>299.10000000000002</v>
      </c>
      <c r="G45" s="46">
        <v>613.5</v>
      </c>
      <c r="H45" s="46">
        <v>1063.5</v>
      </c>
      <c r="I45" s="64">
        <v>2221</v>
      </c>
      <c r="J45" s="47">
        <v>525</v>
      </c>
      <c r="K45" s="47">
        <v>1124</v>
      </c>
      <c r="L45" s="47">
        <v>162</v>
      </c>
      <c r="M45" s="47">
        <v>356</v>
      </c>
      <c r="N45" s="46">
        <v>53.05</v>
      </c>
      <c r="O45" s="46">
        <v>13.83</v>
      </c>
      <c r="P45" s="46">
        <v>50.84</v>
      </c>
      <c r="Q45" s="46">
        <v>53.95</v>
      </c>
      <c r="R45" s="46">
        <v>18.059999999999999</v>
      </c>
      <c r="S45" s="46">
        <v>15.4</v>
      </c>
      <c r="T45" s="46">
        <v>50.04</v>
      </c>
      <c r="U45" s="45">
        <v>434.5</v>
      </c>
      <c r="V45" s="55" t="s">
        <v>65</v>
      </c>
      <c r="W45" s="55" t="s">
        <v>59</v>
      </c>
      <c r="X45" s="80">
        <v>15.3</v>
      </c>
      <c r="Y45" s="80">
        <v>26.5</v>
      </c>
      <c r="Z45" s="80">
        <v>55.1</v>
      </c>
      <c r="AA45" s="80">
        <v>88</v>
      </c>
      <c r="AB45" s="80">
        <v>188</v>
      </c>
      <c r="AC45" s="6"/>
      <c r="AF45" s="6"/>
      <c r="AG45" s="7"/>
      <c r="AH45" s="6"/>
      <c r="AI45" s="7"/>
      <c r="AJ45" s="6"/>
      <c r="AK45" s="6"/>
      <c r="AL45" s="6"/>
      <c r="AM45" s="7"/>
      <c r="AN45" s="6"/>
      <c r="AO45" s="6"/>
    </row>
    <row r="46" spans="1:41" x14ac:dyDescent="0.2">
      <c r="A46" s="2"/>
      <c r="B46" s="59">
        <v>0.81389999999999996</v>
      </c>
      <c r="C46" s="59">
        <v>0.80349999999999999</v>
      </c>
      <c r="D46" s="59">
        <v>0.80469999999999997</v>
      </c>
      <c r="E46" s="59">
        <v>0.78139999999999998</v>
      </c>
      <c r="F46" s="59">
        <v>0.78139999999999998</v>
      </c>
      <c r="G46" s="59">
        <v>0.7752</v>
      </c>
      <c r="H46" s="59">
        <v>0.77129999999999999</v>
      </c>
      <c r="I46" s="59">
        <v>0.77449999999999997</v>
      </c>
      <c r="J46" s="59">
        <v>1.4782999999999999</v>
      </c>
      <c r="K46" s="59">
        <v>1.4382999999999999</v>
      </c>
      <c r="L46" s="59">
        <v>1.3683000000000001</v>
      </c>
      <c r="M46" s="59">
        <v>1.4854000000000001</v>
      </c>
      <c r="N46" s="59">
        <v>1.0589999999999999</v>
      </c>
      <c r="O46" s="59">
        <v>1.3317000000000001</v>
      </c>
      <c r="P46" s="59">
        <v>1.5184</v>
      </c>
      <c r="Q46" s="59">
        <v>1.2865</v>
      </c>
      <c r="R46" s="59">
        <v>1.0853999999999999</v>
      </c>
      <c r="S46" s="59">
        <v>0.89580000000000004</v>
      </c>
      <c r="T46" s="59">
        <v>1.1031</v>
      </c>
      <c r="U46" s="59">
        <v>1.1955</v>
      </c>
      <c r="V46" s="60" t="s">
        <v>66</v>
      </c>
      <c r="W46" s="60" t="s">
        <v>60</v>
      </c>
      <c r="X46" s="76">
        <v>0.78839999999999999</v>
      </c>
      <c r="Y46" s="76">
        <v>0.78359999999999996</v>
      </c>
      <c r="Z46" s="76">
        <v>0.79420000000000002</v>
      </c>
      <c r="AA46" s="76">
        <v>0.79310000000000003</v>
      </c>
      <c r="AB46" s="76">
        <v>0.79500000000000004</v>
      </c>
      <c r="AC46" s="2"/>
      <c r="AF46" s="6"/>
      <c r="AG46" s="7"/>
      <c r="AH46" s="6"/>
      <c r="AI46" s="7"/>
      <c r="AJ46" s="6"/>
      <c r="AK46" s="6"/>
      <c r="AL46" s="6"/>
      <c r="AM46" s="7"/>
      <c r="AN46" s="6"/>
      <c r="AO46" s="6"/>
    </row>
    <row r="47" spans="1:41" x14ac:dyDescent="0.2">
      <c r="A47" s="2"/>
      <c r="B47" s="49">
        <f t="shared" ref="B47:I47" si="21">+ROUNDUP((B45*B46),2)</f>
        <v>10.39</v>
      </c>
      <c r="C47" s="49">
        <f t="shared" si="21"/>
        <v>20.860000000000003</v>
      </c>
      <c r="D47" s="49">
        <f t="shared" si="21"/>
        <v>46.169999999999995</v>
      </c>
      <c r="E47" s="49">
        <f t="shared" si="21"/>
        <v>107.37</v>
      </c>
      <c r="F47" s="49">
        <f t="shared" si="21"/>
        <v>233.72</v>
      </c>
      <c r="G47" s="49">
        <f t="shared" si="21"/>
        <v>475.59</v>
      </c>
      <c r="H47" s="49">
        <f t="shared" si="21"/>
        <v>820.28</v>
      </c>
      <c r="I47" s="49">
        <f t="shared" si="21"/>
        <v>1720.17</v>
      </c>
      <c r="J47" s="50">
        <f>+TRUNC((J45*J46),0)</f>
        <v>776</v>
      </c>
      <c r="K47" s="50">
        <f>+TRUNC((K45*K46),0)</f>
        <v>1616</v>
      </c>
      <c r="L47" s="50">
        <f>+TRUNC((L45*L46),0)</f>
        <v>221</v>
      </c>
      <c r="M47" s="50">
        <f>+TRUNC((M45*M46),0)</f>
        <v>528</v>
      </c>
      <c r="N47" s="49">
        <f>+TRUNC((N45*N46),2)</f>
        <v>56.17</v>
      </c>
      <c r="O47" s="49">
        <f>+TRUNC((O45*O46),2)</f>
        <v>18.41</v>
      </c>
      <c r="P47" s="49">
        <f>+TRUNC((P45*P46),2)</f>
        <v>77.19</v>
      </c>
      <c r="Q47" s="49">
        <f>+TRUNC((Q45*Q46),2)</f>
        <v>69.400000000000006</v>
      </c>
      <c r="R47" s="49">
        <f>+TRUNC((R45*R46),2)</f>
        <v>19.600000000000001</v>
      </c>
      <c r="S47" s="49">
        <f>+ROUNDUP((S45*S46),2)</f>
        <v>13.799999999999999</v>
      </c>
      <c r="T47" s="49">
        <f t="shared" ref="T47" si="22">+ROUNDUP((T45*T46),2)</f>
        <v>55.199999999999996</v>
      </c>
      <c r="U47" s="49">
        <f t="shared" ref="U47" si="23">+ROUNDUP((U45*U46),2)</f>
        <v>519.45000000000005</v>
      </c>
      <c r="V47" s="56" t="s">
        <v>67</v>
      </c>
      <c r="W47" s="56" t="s">
        <v>61</v>
      </c>
      <c r="X47" s="81">
        <f t="shared" ref="X47:AB47" si="24">+ROUNDUP((X45*X46),2)</f>
        <v>12.07</v>
      </c>
      <c r="Y47" s="81">
        <f t="shared" si="24"/>
        <v>20.770000000000003</v>
      </c>
      <c r="Z47" s="81">
        <f t="shared" si="24"/>
        <v>43.769999999999996</v>
      </c>
      <c r="AA47" s="81">
        <f t="shared" si="24"/>
        <v>69.800000000000011</v>
      </c>
      <c r="AB47" s="81">
        <f t="shared" si="24"/>
        <v>149.46</v>
      </c>
      <c r="AC47" s="8"/>
    </row>
    <row r="48" spans="1:41" x14ac:dyDescent="0.2">
      <c r="A48" s="1"/>
      <c r="B48" s="51">
        <f>TRUNC(25.4347*(18-B47)^1.81)</f>
        <v>1001</v>
      </c>
      <c r="C48" s="51">
        <f>TRUNC(5.8425*(38-C47)^1.81)</f>
        <v>1000</v>
      </c>
      <c r="D48" s="51">
        <f>TRUNC(1.53775*(82-D47)^1.81)</f>
        <v>1000</v>
      </c>
      <c r="E48" s="51">
        <f>TRUNC(0.36072*(180-E47)^1.85)</f>
        <v>1000</v>
      </c>
      <c r="F48" s="51">
        <f>TRUNC(0.03768*(480-F47)^1.85)</f>
        <v>1000</v>
      </c>
      <c r="G48" s="51">
        <f>TRUNC(0.01923*(830-G47)^1.85)</f>
        <v>1001</v>
      </c>
      <c r="H48" s="51">
        <f>TRUNC(0.00773*(1400-H47)^1.85)</f>
        <v>1000</v>
      </c>
      <c r="I48" s="51">
        <f>TRUNC(0.0017869*(3000-I47)^1.85)</f>
        <v>1000</v>
      </c>
      <c r="J48" s="51">
        <f>TRUNC(0.14354*(J47-220)^1.4)</f>
        <v>1000</v>
      </c>
      <c r="K48" s="51">
        <f>TRUNC(0.06533*(K47-640)^1.4)</f>
        <v>1000</v>
      </c>
      <c r="L48" s="51">
        <f>TRUNC(0.8465*(L47-75)^1.42)</f>
        <v>1002</v>
      </c>
      <c r="M48" s="51">
        <f>TRUNC(0.2797*(M47-100)^1.35)</f>
        <v>998</v>
      </c>
      <c r="N48" s="51">
        <f>TRUNC(12.91*(N47-4)^1.1)</f>
        <v>1000</v>
      </c>
      <c r="O48" s="51">
        <f>TRUNC(51.39*(O47-1.5)^1.05)</f>
        <v>1000</v>
      </c>
      <c r="P48" s="51">
        <f>TRUNC(10.14*(P47-7)^1.08)</f>
        <v>1000</v>
      </c>
      <c r="Q48" s="51">
        <f>TRUNC(13.0449*(Q47-7)^1.05)</f>
        <v>1000</v>
      </c>
      <c r="R48" s="51">
        <f>TRUNC(47.8338*(R47-1.5)^1.05)</f>
        <v>1000</v>
      </c>
      <c r="S48" s="51">
        <f>TRUNC(5.74352*(28.5-S47)^1.92)</f>
        <v>1000</v>
      </c>
      <c r="T48" s="51">
        <f>TRUNC(1.466*(92-T47)^1.81)</f>
        <v>1000</v>
      </c>
      <c r="U48" s="51">
        <f>TRUNC(0.01431*(935-U47)^1.85)</f>
        <v>1000</v>
      </c>
      <c r="V48" s="57" t="s">
        <v>68</v>
      </c>
      <c r="W48" s="57" t="s">
        <v>62</v>
      </c>
      <c r="X48" s="82">
        <v>1000</v>
      </c>
      <c r="Y48" s="82">
        <v>1000</v>
      </c>
      <c r="Z48" s="82">
        <v>1000</v>
      </c>
      <c r="AA48" s="82">
        <v>1000</v>
      </c>
      <c r="AB48" s="82">
        <v>1000</v>
      </c>
      <c r="AC48" s="7"/>
      <c r="AD48" s="11"/>
      <c r="AE48" s="31"/>
    </row>
    <row r="49" spans="1:41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53"/>
      <c r="T49" s="48"/>
      <c r="U49" s="48"/>
      <c r="V49" s="38"/>
      <c r="W49" s="38"/>
      <c r="X49" s="83"/>
      <c r="Y49" s="83"/>
      <c r="Z49" s="83"/>
      <c r="AA49" s="83"/>
      <c r="AB49" s="83"/>
    </row>
    <row r="50" spans="1:41" x14ac:dyDescent="0.2">
      <c r="A50" s="4">
        <v>70</v>
      </c>
      <c r="B50" s="46">
        <v>13.22</v>
      </c>
      <c r="C50" s="45">
        <v>26.86</v>
      </c>
      <c r="D50" s="46">
        <v>59.4</v>
      </c>
      <c r="E50" s="45">
        <v>143.30000000000001</v>
      </c>
      <c r="F50" s="46">
        <v>313.89999999999998</v>
      </c>
      <c r="G50" s="45">
        <v>646</v>
      </c>
      <c r="H50" s="45">
        <v>1120.5</v>
      </c>
      <c r="I50" s="45">
        <v>2323</v>
      </c>
      <c r="J50" s="47">
        <v>492</v>
      </c>
      <c r="K50" s="47">
        <v>1042</v>
      </c>
      <c r="L50" s="47">
        <v>154</v>
      </c>
      <c r="M50" s="47">
        <v>329</v>
      </c>
      <c r="N50" s="46">
        <v>47.84</v>
      </c>
      <c r="O50" s="46">
        <v>14.12</v>
      </c>
      <c r="P50" s="46">
        <v>49.62</v>
      </c>
      <c r="Q50" s="46">
        <v>54.25</v>
      </c>
      <c r="R50" s="46">
        <v>19.09</v>
      </c>
      <c r="S50" s="46">
        <v>12.79</v>
      </c>
      <c r="T50" s="46">
        <v>52.9</v>
      </c>
      <c r="U50" s="45">
        <v>459.8</v>
      </c>
      <c r="V50" s="55" t="s">
        <v>65</v>
      </c>
      <c r="W50" s="55" t="s">
        <v>59</v>
      </c>
      <c r="X50" s="80">
        <v>16.2</v>
      </c>
      <c r="Y50" s="80">
        <v>28.1</v>
      </c>
      <c r="Z50" s="80">
        <v>58.3</v>
      </c>
      <c r="AA50" s="80">
        <v>93.3</v>
      </c>
      <c r="AB50" s="80">
        <v>200</v>
      </c>
      <c r="AC50" s="19"/>
      <c r="AF50" s="19"/>
      <c r="AG50" s="17"/>
      <c r="AH50" s="19"/>
      <c r="AI50" s="17"/>
      <c r="AJ50" s="19"/>
      <c r="AK50" s="19"/>
      <c r="AL50" s="19"/>
      <c r="AM50" s="17"/>
      <c r="AN50" s="19"/>
      <c r="AO50" s="19"/>
    </row>
    <row r="51" spans="1:41" x14ac:dyDescent="0.2">
      <c r="A51" s="2"/>
      <c r="B51" s="59">
        <v>0.78580000000000005</v>
      </c>
      <c r="C51" s="59">
        <v>0.77639999999999998</v>
      </c>
      <c r="D51" s="59">
        <v>0.77700000000000002</v>
      </c>
      <c r="E51" s="59">
        <v>0.749</v>
      </c>
      <c r="F51" s="59">
        <v>0.74460000000000004</v>
      </c>
      <c r="G51" s="59">
        <v>0.73570000000000002</v>
      </c>
      <c r="H51" s="59">
        <v>0.73209999999999997</v>
      </c>
      <c r="I51" s="59">
        <v>0.74070000000000003</v>
      </c>
      <c r="J51" s="59">
        <v>1.5787</v>
      </c>
      <c r="K51" s="59">
        <v>1.5515000000000001</v>
      </c>
      <c r="L51" s="59">
        <v>1.4441999999999999</v>
      </c>
      <c r="M51" s="59">
        <v>1.6073</v>
      </c>
      <c r="N51" s="59">
        <v>1.1746000000000001</v>
      </c>
      <c r="O51" s="59">
        <v>1.3036000000000001</v>
      </c>
      <c r="P51" s="59">
        <v>1.5566</v>
      </c>
      <c r="Q51" s="59">
        <v>1.2785</v>
      </c>
      <c r="R51" s="59">
        <v>1.0263</v>
      </c>
      <c r="S51" s="59">
        <v>1.0788</v>
      </c>
      <c r="T51" s="59">
        <v>1.0434000000000001</v>
      </c>
      <c r="U51" s="59">
        <v>1.1296999999999999</v>
      </c>
      <c r="V51" s="60" t="s">
        <v>66</v>
      </c>
      <c r="W51" s="60" t="s">
        <v>60</v>
      </c>
      <c r="X51" s="76">
        <v>0.74819999999999998</v>
      </c>
      <c r="Y51" s="76">
        <v>0.74280000000000002</v>
      </c>
      <c r="Z51" s="76">
        <v>0.75639999999999996</v>
      </c>
      <c r="AA51" s="76">
        <v>0.76</v>
      </c>
      <c r="AB51" s="76">
        <v>0.75629999999999997</v>
      </c>
      <c r="AC51" s="2"/>
    </row>
    <row r="52" spans="1:41" x14ac:dyDescent="0.2">
      <c r="A52" s="2"/>
      <c r="B52" s="65">
        <f t="shared" ref="B52:I52" si="25">+ROUNDUP((B50*B51),2)</f>
        <v>10.39</v>
      </c>
      <c r="C52" s="66">
        <f t="shared" si="25"/>
        <v>20.860000000000003</v>
      </c>
      <c r="D52" s="65">
        <f t="shared" si="25"/>
        <v>46.16</v>
      </c>
      <c r="E52" s="66">
        <f t="shared" si="25"/>
        <v>107.34</v>
      </c>
      <c r="F52" s="65">
        <f t="shared" si="25"/>
        <v>233.73</v>
      </c>
      <c r="G52" s="66">
        <f t="shared" si="25"/>
        <v>475.27</v>
      </c>
      <c r="H52" s="66">
        <f t="shared" si="25"/>
        <v>820.31999999999994</v>
      </c>
      <c r="I52" s="66">
        <f t="shared" si="25"/>
        <v>1720.65</v>
      </c>
      <c r="J52" s="67">
        <f>+TRUNC((J50*J51),0)</f>
        <v>776</v>
      </c>
      <c r="K52" s="68">
        <f>+TRUNC((K50*K51),0)</f>
        <v>1616</v>
      </c>
      <c r="L52" s="67">
        <f>+TRUNC((L50*L51),0)</f>
        <v>222</v>
      </c>
      <c r="M52" s="67">
        <f>+TRUNC((M50*M51),0)</f>
        <v>528</v>
      </c>
      <c r="N52" s="65">
        <f>+TRUNC((N50*N51),2)</f>
        <v>56.19</v>
      </c>
      <c r="O52" s="65">
        <f>+TRUNC((O50*O51),2)</f>
        <v>18.399999999999999</v>
      </c>
      <c r="P52" s="65">
        <f>+TRUNC((P50*P51),2)</f>
        <v>77.23</v>
      </c>
      <c r="Q52" s="65">
        <f>+TRUNC((Q50*Q51),2)</f>
        <v>69.349999999999994</v>
      </c>
      <c r="R52" s="66">
        <f>+TRUNC((R50*R51),2)</f>
        <v>19.59</v>
      </c>
      <c r="S52" s="65">
        <f>+ROUNDUP((S50*S51),2)</f>
        <v>13.799999999999999</v>
      </c>
      <c r="T52" s="65">
        <f t="shared" ref="T52" si="26">+ROUNDUP((T50*T51),2)</f>
        <v>55.199999999999996</v>
      </c>
      <c r="U52" s="65">
        <f t="shared" ref="U52" si="27">+ROUNDUP((U50*U51),2)</f>
        <v>519.43999999999994</v>
      </c>
      <c r="V52" s="56" t="s">
        <v>67</v>
      </c>
      <c r="W52" s="56" t="s">
        <v>61</v>
      </c>
      <c r="X52" s="81">
        <f t="shared" ref="X52:AB52" si="28">+ROUNDUP((X50*X51),2)</f>
        <v>12.129999999999999</v>
      </c>
      <c r="Y52" s="81">
        <f t="shared" si="28"/>
        <v>20.880000000000003</v>
      </c>
      <c r="Z52" s="81">
        <f t="shared" si="28"/>
        <v>44.1</v>
      </c>
      <c r="AA52" s="81">
        <f t="shared" si="28"/>
        <v>70.910000000000011</v>
      </c>
      <c r="AB52" s="81">
        <f t="shared" si="28"/>
        <v>151.26</v>
      </c>
      <c r="AC52" s="16"/>
    </row>
    <row r="53" spans="1:41" x14ac:dyDescent="0.2">
      <c r="A53" s="37"/>
      <c r="B53" s="51">
        <f>TRUNC(25.4347*(18-B52)^1.81)</f>
        <v>1001</v>
      </c>
      <c r="C53" s="51">
        <f>TRUNC(5.8425*(38-C52)^1.81)</f>
        <v>1000</v>
      </c>
      <c r="D53" s="51">
        <f>TRUNC(1.53775*(82-D52)^1.81)</f>
        <v>1000</v>
      </c>
      <c r="E53" s="51">
        <f>TRUNC(0.36072*(180-E52)^1.85)</f>
        <v>1001</v>
      </c>
      <c r="F53" s="51">
        <f>TRUNC(0.03768*(480-F52)^1.85)</f>
        <v>1000</v>
      </c>
      <c r="G53" s="51">
        <f>TRUNC(0.01923*(830-G52)^1.85)</f>
        <v>1002</v>
      </c>
      <c r="H53" s="51">
        <f>TRUNC(0.00773*(1400-H52)^1.85)</f>
        <v>1000</v>
      </c>
      <c r="I53" s="51">
        <f>TRUNC(0.0017869*(3000-I52)^1.85)</f>
        <v>1000</v>
      </c>
      <c r="J53" s="51">
        <f>TRUNC(0.14354*(J52-220)^1.4)</f>
        <v>1000</v>
      </c>
      <c r="K53" s="51">
        <f>TRUNC(0.06533*(K52-640)^1.4)</f>
        <v>1000</v>
      </c>
      <c r="L53" s="51">
        <f>TRUNC(0.8465*(L52-75)^1.42)</f>
        <v>1012</v>
      </c>
      <c r="M53" s="51">
        <f>TRUNC(0.2797*(M52-100)^1.35)</f>
        <v>998</v>
      </c>
      <c r="N53" s="51">
        <f>TRUNC(12.91*(N52-4)^1.1)</f>
        <v>1000</v>
      </c>
      <c r="O53" s="51">
        <f>TRUNC(51.39*(O52-1.5)^1.05)</f>
        <v>1000</v>
      </c>
      <c r="P53" s="51">
        <f>TRUNC(10.14*(P52-7)^1.08)</f>
        <v>1000</v>
      </c>
      <c r="Q53" s="51">
        <f>TRUNC(13.0449*(Q52-7)^1.05)</f>
        <v>1000</v>
      </c>
      <c r="R53" s="51">
        <f>TRUNC(47.8338*(R52-1.5)^1.05)</f>
        <v>1000</v>
      </c>
      <c r="S53" s="51">
        <f>TRUNC(5.74352*(28.5-S52)^1.92)</f>
        <v>1000</v>
      </c>
      <c r="T53" s="51">
        <f>TRUNC(1.466*(92-T52)^1.81)</f>
        <v>1000</v>
      </c>
      <c r="U53" s="51">
        <f>TRUNC(0.01431*(935-U52)^1.85)</f>
        <v>1000</v>
      </c>
      <c r="V53" s="57" t="s">
        <v>68</v>
      </c>
      <c r="W53" s="57" t="s">
        <v>62</v>
      </c>
      <c r="X53" s="82">
        <v>1000</v>
      </c>
      <c r="Y53" s="82">
        <v>1000</v>
      </c>
      <c r="Z53" s="82">
        <v>1000</v>
      </c>
      <c r="AA53" s="82">
        <v>1000</v>
      </c>
      <c r="AB53" s="82">
        <v>1000</v>
      </c>
      <c r="AC53" s="17"/>
      <c r="AD53" s="11"/>
      <c r="AE53" s="11"/>
      <c r="AG53" s="32"/>
    </row>
    <row r="54" spans="1:41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53"/>
      <c r="T54" s="48"/>
      <c r="U54" s="48"/>
      <c r="V54" s="38"/>
      <c r="W54" s="38"/>
      <c r="X54" s="83"/>
      <c r="Y54" s="83"/>
      <c r="Z54" s="83"/>
      <c r="AA54" s="83"/>
      <c r="AB54" s="83"/>
    </row>
    <row r="55" spans="1:41" x14ac:dyDescent="0.2">
      <c r="A55" s="4">
        <v>75</v>
      </c>
      <c r="B55" s="46">
        <v>13.69</v>
      </c>
      <c r="C55" s="45">
        <v>27.81</v>
      </c>
      <c r="D55" s="46">
        <v>62.03</v>
      </c>
      <c r="E55" s="45">
        <v>149.69999999999999</v>
      </c>
      <c r="F55" s="46">
        <v>330.6</v>
      </c>
      <c r="G55" s="45">
        <v>683.5</v>
      </c>
      <c r="H55" s="45">
        <v>1183.5</v>
      </c>
      <c r="I55" s="45">
        <v>2432</v>
      </c>
      <c r="J55" s="47">
        <v>459</v>
      </c>
      <c r="K55" s="47">
        <v>960</v>
      </c>
      <c r="L55" s="47">
        <v>145</v>
      </c>
      <c r="M55" s="47">
        <v>302</v>
      </c>
      <c r="N55" s="46">
        <v>42.55</v>
      </c>
      <c r="O55" s="46">
        <v>12.8</v>
      </c>
      <c r="P55" s="46">
        <v>43.54</v>
      </c>
      <c r="Q55" s="46">
        <v>48.15</v>
      </c>
      <c r="R55" s="46">
        <v>17.440000000000001</v>
      </c>
      <c r="S55" s="46">
        <v>13.64</v>
      </c>
      <c r="T55" s="46">
        <v>56.12</v>
      </c>
      <c r="U55" s="45">
        <v>488.2</v>
      </c>
      <c r="V55" s="55" t="s">
        <v>65</v>
      </c>
      <c r="W55" s="55" t="s">
        <v>59</v>
      </c>
      <c r="X55" s="80">
        <v>17.149999999999999</v>
      </c>
      <c r="Y55" s="80">
        <v>29.4</v>
      </c>
      <c r="Z55" s="80">
        <v>61.3</v>
      </c>
      <c r="AA55" s="84">
        <v>99.3</v>
      </c>
      <c r="AB55" s="80">
        <v>214</v>
      </c>
      <c r="AC55" s="19"/>
      <c r="AF55" s="19"/>
      <c r="AG55" s="17"/>
      <c r="AH55" s="19"/>
      <c r="AI55" s="17"/>
      <c r="AJ55" s="19"/>
      <c r="AK55" s="19"/>
      <c r="AL55" s="19"/>
      <c r="AM55" s="17"/>
      <c r="AN55" s="19"/>
      <c r="AO55" s="19"/>
    </row>
    <row r="56" spans="1:41" x14ac:dyDescent="0.2">
      <c r="A56" s="2"/>
      <c r="B56" s="59">
        <v>0.75839999999999996</v>
      </c>
      <c r="C56" s="59">
        <v>0.75</v>
      </c>
      <c r="D56" s="59">
        <v>0.74399999999999999</v>
      </c>
      <c r="E56" s="59">
        <v>0.71689999999999998</v>
      </c>
      <c r="F56" s="59">
        <v>0.70699999999999996</v>
      </c>
      <c r="G56" s="59">
        <v>0.69569999999999999</v>
      </c>
      <c r="H56" s="59">
        <v>0.69299999999999995</v>
      </c>
      <c r="I56" s="59">
        <v>0.70730000000000004</v>
      </c>
      <c r="J56" s="59">
        <v>1.6917</v>
      </c>
      <c r="K56" s="59">
        <v>1.6841999999999999</v>
      </c>
      <c r="L56" s="59">
        <v>1.5266999999999999</v>
      </c>
      <c r="M56" s="59">
        <v>1.7502</v>
      </c>
      <c r="N56" s="59">
        <v>1.3205</v>
      </c>
      <c r="O56" s="59">
        <v>1.4384999999999999</v>
      </c>
      <c r="P56" s="59">
        <v>1.7730999999999999</v>
      </c>
      <c r="Q56" s="59">
        <v>1.4402999999999999</v>
      </c>
      <c r="R56" s="59">
        <v>1.1233</v>
      </c>
      <c r="S56" s="59">
        <v>1.0111000000000001</v>
      </c>
      <c r="T56" s="59">
        <v>0.98360000000000003</v>
      </c>
      <c r="U56" s="59">
        <v>1.0639000000000001</v>
      </c>
      <c r="V56" s="60" t="s">
        <v>66</v>
      </c>
      <c r="W56" s="60" t="s">
        <v>60</v>
      </c>
      <c r="X56" s="76">
        <v>0.70730000000000004</v>
      </c>
      <c r="Y56" s="76">
        <v>0.70099999999999996</v>
      </c>
      <c r="Z56" s="76">
        <v>0.71730000000000005</v>
      </c>
      <c r="AA56" s="76">
        <v>0.72330000000000005</v>
      </c>
      <c r="AB56" s="76">
        <v>0.71650000000000003</v>
      </c>
      <c r="AC56" s="2"/>
    </row>
    <row r="57" spans="1:41" x14ac:dyDescent="0.2">
      <c r="A57" s="2"/>
      <c r="B57" s="49">
        <f t="shared" ref="B57:I57" si="29">+ROUNDUP((B55*B56),2)</f>
        <v>10.39</v>
      </c>
      <c r="C57" s="49">
        <f t="shared" si="29"/>
        <v>20.860000000000003</v>
      </c>
      <c r="D57" s="49">
        <f t="shared" si="29"/>
        <v>46.16</v>
      </c>
      <c r="E57" s="49">
        <f t="shared" si="29"/>
        <v>107.32000000000001</v>
      </c>
      <c r="F57" s="49">
        <f t="shared" si="29"/>
        <v>233.73999999999998</v>
      </c>
      <c r="G57" s="49">
        <f t="shared" si="29"/>
        <v>475.52</v>
      </c>
      <c r="H57" s="49">
        <f t="shared" si="29"/>
        <v>820.17</v>
      </c>
      <c r="I57" s="49">
        <f t="shared" si="29"/>
        <v>1720.16</v>
      </c>
      <c r="J57" s="50">
        <f>+TRUNC((J55*J56),0)</f>
        <v>776</v>
      </c>
      <c r="K57" s="50">
        <f>+TRUNC((K55*K56),0)</f>
        <v>1616</v>
      </c>
      <c r="L57" s="50">
        <f>+TRUNC((L55*L56),0)</f>
        <v>221</v>
      </c>
      <c r="M57" s="50">
        <f>+TRUNC((M55*M56),0)</f>
        <v>528</v>
      </c>
      <c r="N57" s="49">
        <f>+TRUNC((N55*N56),2)</f>
        <v>56.18</v>
      </c>
      <c r="O57" s="49">
        <f>+TRUNC((O55*O56),2)</f>
        <v>18.41</v>
      </c>
      <c r="P57" s="49">
        <f>+TRUNC((P55*P56),2)</f>
        <v>77.2</v>
      </c>
      <c r="Q57" s="49">
        <f>+TRUNC((Q55*Q56),2)</f>
        <v>69.349999999999994</v>
      </c>
      <c r="R57" s="49">
        <f>+TRUNC((R55*R56),2)</f>
        <v>19.59</v>
      </c>
      <c r="S57" s="49">
        <f>+ROUNDUP((S55*S56),2)</f>
        <v>13.799999999999999</v>
      </c>
      <c r="T57" s="49">
        <f t="shared" ref="T57" si="30">+ROUNDUP((T55*T56),2)</f>
        <v>55.199999999999996</v>
      </c>
      <c r="U57" s="49">
        <f t="shared" ref="U57" si="31">+ROUNDUP((U55*U56),2)</f>
        <v>519.4</v>
      </c>
      <c r="V57" s="56" t="s">
        <v>67</v>
      </c>
      <c r="W57" s="56" t="s">
        <v>61</v>
      </c>
      <c r="X57" s="81">
        <f t="shared" ref="X57:AB57" si="32">+ROUNDUP((X55*X56),2)</f>
        <v>12.14</v>
      </c>
      <c r="Y57" s="81">
        <f t="shared" si="32"/>
        <v>20.610000000000003</v>
      </c>
      <c r="Z57" s="81">
        <f t="shared" si="32"/>
        <v>43.98</v>
      </c>
      <c r="AA57" s="81">
        <f t="shared" si="32"/>
        <v>71.83</v>
      </c>
      <c r="AB57" s="81">
        <f t="shared" si="32"/>
        <v>153.34</v>
      </c>
      <c r="AC57" s="16"/>
    </row>
    <row r="58" spans="1:41" x14ac:dyDescent="0.2">
      <c r="A58" s="37"/>
      <c r="B58" s="51">
        <f>TRUNC(25.4347*(18-B57)^1.81)</f>
        <v>1001</v>
      </c>
      <c r="C58" s="51">
        <f>TRUNC(5.8425*(38-C57)^1.81)</f>
        <v>1000</v>
      </c>
      <c r="D58" s="51">
        <f>TRUNC(1.53775*(82-D57)^1.81)</f>
        <v>1000</v>
      </c>
      <c r="E58" s="51">
        <f>TRUNC(0.36072*(180-E57)^1.85)</f>
        <v>1001</v>
      </c>
      <c r="F58" s="51">
        <f>TRUNC(0.03768*(480-F57)^1.85)</f>
        <v>1000</v>
      </c>
      <c r="G58" s="51">
        <f>TRUNC(0.01923*(830-G57)^1.85)</f>
        <v>1001</v>
      </c>
      <c r="H58" s="51">
        <f>TRUNC(0.00773*(1400-H57)^1.85)</f>
        <v>1000</v>
      </c>
      <c r="I58" s="51">
        <f>TRUNC(0.0017869*(3000-I57)^1.85)</f>
        <v>1000</v>
      </c>
      <c r="J58" s="51">
        <f>TRUNC(0.14354*(J57-220)^1.4)</f>
        <v>1000</v>
      </c>
      <c r="K58" s="51">
        <f>TRUNC(0.06533*(K57-640)^1.4)</f>
        <v>1000</v>
      </c>
      <c r="L58" s="51">
        <f>TRUNC(0.8465*(L57-75)^1.42)</f>
        <v>1002</v>
      </c>
      <c r="M58" s="51">
        <f>TRUNC(0.2797*(M57-100)^1.35)</f>
        <v>998</v>
      </c>
      <c r="N58" s="51">
        <f>TRUNC(12.91*(N57-4)^1.1)</f>
        <v>1000</v>
      </c>
      <c r="O58" s="51">
        <f>TRUNC(51.39*(O57-1.5)^1.05)</f>
        <v>1000</v>
      </c>
      <c r="P58" s="51">
        <f>TRUNC(10.14*(P57-7)^1.08)</f>
        <v>1000</v>
      </c>
      <c r="Q58" s="51">
        <f>TRUNC(13.0449*(Q57-7)^1.05)</f>
        <v>1000</v>
      </c>
      <c r="R58" s="51">
        <f>TRUNC(47.8338*(R57-1.5)^1.05)</f>
        <v>1000</v>
      </c>
      <c r="S58" s="51">
        <f>TRUNC(5.74352*(28.5-S57)^1.92)</f>
        <v>1000</v>
      </c>
      <c r="T58" s="51">
        <f>TRUNC(1.466*(92-T57)^1.81)</f>
        <v>1000</v>
      </c>
      <c r="U58" s="51">
        <f>TRUNC(0.01431*(935-U57)^1.85)</f>
        <v>1000</v>
      </c>
      <c r="V58" s="57" t="s">
        <v>68</v>
      </c>
      <c r="W58" s="57" t="s">
        <v>62</v>
      </c>
      <c r="X58" s="82">
        <v>1000</v>
      </c>
      <c r="Y58" s="82">
        <v>1000</v>
      </c>
      <c r="Z58" s="82">
        <v>1000</v>
      </c>
      <c r="AA58" s="82">
        <v>1000</v>
      </c>
      <c r="AB58" s="82">
        <v>1000</v>
      </c>
      <c r="AC58" s="17"/>
      <c r="AD58" s="11"/>
      <c r="AE58" s="31"/>
    </row>
    <row r="59" spans="1:41" x14ac:dyDescent="0.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53"/>
      <c r="T59" s="48"/>
      <c r="U59" s="48"/>
      <c r="V59" s="38"/>
      <c r="W59" s="38"/>
      <c r="X59" s="83"/>
      <c r="Y59" s="83"/>
      <c r="Z59" s="83"/>
      <c r="AA59" s="83"/>
      <c r="AB59" s="83"/>
    </row>
    <row r="60" spans="1:41" x14ac:dyDescent="0.2">
      <c r="A60" s="4">
        <v>80</v>
      </c>
      <c r="B60" s="46">
        <v>14.19</v>
      </c>
      <c r="C60" s="46">
        <v>29.08</v>
      </c>
      <c r="D60" s="46">
        <v>66.22</v>
      </c>
      <c r="E60" s="45">
        <v>159.30000000000001</v>
      </c>
      <c r="F60" s="46">
        <v>351.4</v>
      </c>
      <c r="G60" s="45">
        <v>726</v>
      </c>
      <c r="H60" s="45">
        <v>1254</v>
      </c>
      <c r="I60" s="45">
        <v>2568</v>
      </c>
      <c r="J60" s="47">
        <v>421</v>
      </c>
      <c r="K60" s="47">
        <v>878</v>
      </c>
      <c r="L60" s="47">
        <v>137</v>
      </c>
      <c r="M60" s="47">
        <v>276</v>
      </c>
      <c r="N60" s="46">
        <v>37.200000000000003</v>
      </c>
      <c r="O60" s="46">
        <v>13.26</v>
      </c>
      <c r="P60" s="46">
        <v>41.98</v>
      </c>
      <c r="Q60" s="46">
        <v>48.5</v>
      </c>
      <c r="R60" s="46">
        <v>18.59</v>
      </c>
      <c r="S60" s="46">
        <v>14.69</v>
      </c>
      <c r="T60" s="46">
        <v>40.130000000000003</v>
      </c>
      <c r="U60" s="45">
        <v>527</v>
      </c>
      <c r="V60" s="55" t="s">
        <v>65</v>
      </c>
      <c r="W60" s="55" t="s">
        <v>59</v>
      </c>
      <c r="X60" s="80">
        <v>18.5</v>
      </c>
      <c r="Y60" s="80">
        <v>32.200000000000003</v>
      </c>
      <c r="Z60" s="80">
        <v>66.3</v>
      </c>
      <c r="AA60" s="80">
        <v>107</v>
      </c>
      <c r="AB60" s="80">
        <v>232</v>
      </c>
      <c r="AC60" s="19"/>
      <c r="AF60" s="19"/>
      <c r="AG60" s="17"/>
      <c r="AH60" s="19"/>
      <c r="AI60" s="17"/>
      <c r="AJ60" s="19"/>
      <c r="AK60" s="19"/>
      <c r="AL60" s="19"/>
      <c r="AM60" s="17"/>
      <c r="AN60" s="19"/>
      <c r="AO60" s="19"/>
    </row>
    <row r="61" spans="1:41" x14ac:dyDescent="0.2">
      <c r="A61" s="2"/>
      <c r="B61" s="59">
        <v>0.73170000000000002</v>
      </c>
      <c r="C61" s="59">
        <v>0.71699999999999997</v>
      </c>
      <c r="D61" s="59">
        <v>0.69699999999999995</v>
      </c>
      <c r="E61" s="59">
        <v>0.67369999999999997</v>
      </c>
      <c r="F61" s="59">
        <v>0.66510000000000002</v>
      </c>
      <c r="G61" s="59">
        <v>0.6552</v>
      </c>
      <c r="H61" s="59">
        <v>0.65410000000000001</v>
      </c>
      <c r="I61" s="59">
        <v>0.66979999999999995</v>
      </c>
      <c r="J61" s="59">
        <v>1.8448</v>
      </c>
      <c r="K61" s="59">
        <v>1.8420000000000001</v>
      </c>
      <c r="L61" s="59">
        <v>1.6166</v>
      </c>
      <c r="M61" s="59">
        <v>1.9198999999999999</v>
      </c>
      <c r="N61" s="59">
        <v>1.5103</v>
      </c>
      <c r="O61" s="59">
        <v>1.3885000000000001</v>
      </c>
      <c r="P61" s="59">
        <v>1.8402000000000001</v>
      </c>
      <c r="Q61" s="59">
        <v>1.4300999999999999</v>
      </c>
      <c r="R61" s="59">
        <v>1.0544</v>
      </c>
      <c r="S61" s="59">
        <v>0.93920000000000003</v>
      </c>
      <c r="T61" s="59">
        <v>1.3753</v>
      </c>
      <c r="U61" s="59">
        <v>0.98570000000000002</v>
      </c>
      <c r="V61" s="60" t="s">
        <v>66</v>
      </c>
      <c r="W61" s="60" t="s">
        <v>60</v>
      </c>
      <c r="X61" s="76">
        <v>0.66569999999999996</v>
      </c>
      <c r="Y61" s="76">
        <v>0.65810000000000002</v>
      </c>
      <c r="Z61" s="76">
        <v>0.67700000000000005</v>
      </c>
      <c r="AA61" s="76">
        <v>0.67149999999999999</v>
      </c>
      <c r="AB61" s="76">
        <v>0.6643</v>
      </c>
      <c r="AC61" s="2"/>
    </row>
    <row r="62" spans="1:41" x14ac:dyDescent="0.2">
      <c r="A62" s="2"/>
      <c r="B62" s="65">
        <f t="shared" ref="B62:I62" si="33">+ROUNDUP((B60*B61),2)</f>
        <v>10.39</v>
      </c>
      <c r="C62" s="66">
        <f t="shared" si="33"/>
        <v>20.860000000000003</v>
      </c>
      <c r="D62" s="65">
        <f t="shared" si="33"/>
        <v>46.16</v>
      </c>
      <c r="E62" s="66">
        <f t="shared" si="33"/>
        <v>107.33</v>
      </c>
      <c r="F62" s="65">
        <f t="shared" si="33"/>
        <v>233.72</v>
      </c>
      <c r="G62" s="66">
        <f t="shared" si="33"/>
        <v>475.68</v>
      </c>
      <c r="H62" s="66">
        <f t="shared" si="33"/>
        <v>820.25</v>
      </c>
      <c r="I62" s="66">
        <f t="shared" si="33"/>
        <v>1720.05</v>
      </c>
      <c r="J62" s="67">
        <f>+TRUNC((J60*J61),0)</f>
        <v>776</v>
      </c>
      <c r="K62" s="68">
        <f>+TRUNC((K60*K61),0)</f>
        <v>1617</v>
      </c>
      <c r="L62" s="67">
        <f>+TRUNC((L60*L61),0)</f>
        <v>221</v>
      </c>
      <c r="M62" s="67">
        <f>+TRUNC((M60*M61),0)</f>
        <v>529</v>
      </c>
      <c r="N62" s="65">
        <f>+TRUNC((N60*N61),2)</f>
        <v>56.18</v>
      </c>
      <c r="O62" s="65">
        <f>+TRUNC((O60*O61),2)</f>
        <v>18.41</v>
      </c>
      <c r="P62" s="65">
        <f>+TRUNC((P60*P61),2)</f>
        <v>77.25</v>
      </c>
      <c r="Q62" s="65">
        <f>+TRUNC((Q60*Q61),2)</f>
        <v>69.349999999999994</v>
      </c>
      <c r="R62" s="66">
        <f>+TRUNC((R60*R61),2)</f>
        <v>19.600000000000001</v>
      </c>
      <c r="S62" s="65">
        <f>+ROUNDUP((S60*S61),2)</f>
        <v>13.799999999999999</v>
      </c>
      <c r="T62" s="65">
        <f t="shared" ref="T62" si="34">+ROUNDUP((T60*T61),2)</f>
        <v>55.199999999999996</v>
      </c>
      <c r="U62" s="65">
        <f t="shared" ref="U62" si="35">+ROUNDUP((U60*U61),2)</f>
        <v>519.47</v>
      </c>
      <c r="V62" s="56" t="s">
        <v>67</v>
      </c>
      <c r="W62" s="56" t="s">
        <v>61</v>
      </c>
      <c r="X62" s="81">
        <f t="shared" ref="X62:AB62" si="36">+ROUNDUP((X60*X61),2)</f>
        <v>12.32</v>
      </c>
      <c r="Y62" s="81">
        <f t="shared" si="36"/>
        <v>21.200000000000003</v>
      </c>
      <c r="Z62" s="81">
        <f t="shared" si="36"/>
        <v>44.89</v>
      </c>
      <c r="AA62" s="81">
        <f t="shared" si="36"/>
        <v>71.86</v>
      </c>
      <c r="AB62" s="81">
        <f t="shared" si="36"/>
        <v>154.12</v>
      </c>
      <c r="AC62" s="16"/>
    </row>
    <row r="63" spans="1:41" x14ac:dyDescent="0.2">
      <c r="A63" s="37"/>
      <c r="B63" s="51">
        <f>TRUNC(25.4347*(18-B62)^1.81)</f>
        <v>1001</v>
      </c>
      <c r="C63" s="51">
        <f>TRUNC(5.8425*(38-C62)^1.81)</f>
        <v>1000</v>
      </c>
      <c r="D63" s="51">
        <f>TRUNC(1.53775*(82-D62)^1.81)</f>
        <v>1000</v>
      </c>
      <c r="E63" s="51">
        <f>TRUNC(0.36072*(180-E62)^1.85)</f>
        <v>1001</v>
      </c>
      <c r="F63" s="51">
        <f>TRUNC(0.03768*(480-F62)^1.85)</f>
        <v>1000</v>
      </c>
      <c r="G63" s="51">
        <f>TRUNC(0.01923*(830-G62)^1.85)</f>
        <v>1000</v>
      </c>
      <c r="H63" s="51">
        <f>TRUNC(0.00773*(1400-H62)^1.85)</f>
        <v>1000</v>
      </c>
      <c r="I63" s="51">
        <f>TRUNC(0.0017869*(3000-I62)^1.85)</f>
        <v>1000</v>
      </c>
      <c r="J63" s="51">
        <f>TRUNC(0.14354*(J62-220)^1.4)</f>
        <v>1000</v>
      </c>
      <c r="K63" s="51">
        <f>TRUNC(0.06533*(K62-640)^1.4)</f>
        <v>1002</v>
      </c>
      <c r="L63" s="51">
        <f>TRUNC(0.8465*(L62-75)^1.42)</f>
        <v>1002</v>
      </c>
      <c r="M63" s="51">
        <f>TRUNC(0.2797*(M62-100)^1.35)</f>
        <v>1001</v>
      </c>
      <c r="N63" s="51">
        <f>TRUNC(12.91*(N62-4)^1.1)</f>
        <v>1000</v>
      </c>
      <c r="O63" s="51">
        <f>TRUNC(51.39*(O62-1.5)^1.05)</f>
        <v>1000</v>
      </c>
      <c r="P63" s="51">
        <f>TRUNC(10.14*(P62-7)^1.08)</f>
        <v>1000</v>
      </c>
      <c r="Q63" s="51">
        <f>TRUNC(13.0449*(Q62-7)^1.05)</f>
        <v>1000</v>
      </c>
      <c r="R63" s="51">
        <f>TRUNC(47.8338*(R62-1.5)^1.05)</f>
        <v>1000</v>
      </c>
      <c r="S63" s="51">
        <f>TRUNC(5.74352*(28.5-S62)^1.92)</f>
        <v>1000</v>
      </c>
      <c r="T63" s="51">
        <f>TRUNC(1.466*(92-T62)^1.81)</f>
        <v>1000</v>
      </c>
      <c r="U63" s="51">
        <f>TRUNC(0.01431*(935-U62)^1.85)</f>
        <v>1000</v>
      </c>
      <c r="V63" s="57" t="s">
        <v>68</v>
      </c>
      <c r="W63" s="57" t="s">
        <v>62</v>
      </c>
      <c r="X63" s="82">
        <v>1000</v>
      </c>
      <c r="Y63" s="82">
        <v>1000</v>
      </c>
      <c r="Z63" s="82">
        <v>1000</v>
      </c>
      <c r="AA63" s="82">
        <v>1000</v>
      </c>
      <c r="AB63" s="82">
        <v>1000</v>
      </c>
      <c r="AC63" s="17"/>
      <c r="AD63" s="11"/>
      <c r="AE63" s="11"/>
    </row>
    <row r="64" spans="1:41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53"/>
      <c r="T64" s="48"/>
      <c r="U64" s="48"/>
      <c r="V64" s="38"/>
      <c r="W64" s="38"/>
      <c r="X64" s="83"/>
      <c r="Y64" s="83"/>
      <c r="Z64" s="83"/>
      <c r="AA64" s="83"/>
      <c r="AB64" s="83"/>
    </row>
    <row r="65" spans="1:41" x14ac:dyDescent="0.2">
      <c r="A65" s="4">
        <v>85</v>
      </c>
      <c r="B65" s="46">
        <v>14.95</v>
      </c>
      <c r="C65" s="45">
        <v>31.27</v>
      </c>
      <c r="D65" s="46">
        <v>72.569999999999993</v>
      </c>
      <c r="E65" s="45">
        <v>174.4</v>
      </c>
      <c r="F65" s="46">
        <v>384.7</v>
      </c>
      <c r="G65" s="45">
        <v>788</v>
      </c>
      <c r="H65" s="45">
        <v>1359.5</v>
      </c>
      <c r="I65" s="45">
        <v>2804</v>
      </c>
      <c r="J65" s="47">
        <v>376</v>
      </c>
      <c r="K65" s="47">
        <v>796</v>
      </c>
      <c r="L65" s="47">
        <v>129</v>
      </c>
      <c r="M65" s="47">
        <v>246</v>
      </c>
      <c r="N65" s="46">
        <v>31.8</v>
      </c>
      <c r="O65" s="46">
        <v>11.75</v>
      </c>
      <c r="P65" s="46">
        <v>35.26</v>
      </c>
      <c r="Q65" s="46">
        <v>41.35</v>
      </c>
      <c r="R65" s="46">
        <v>16.27</v>
      </c>
      <c r="S65" s="46">
        <v>16.260000000000002</v>
      </c>
      <c r="T65" s="46">
        <v>44.58</v>
      </c>
      <c r="U65" s="45">
        <v>585.79999999999995</v>
      </c>
      <c r="V65" s="55" t="s">
        <v>65</v>
      </c>
      <c r="W65" s="55" t="s">
        <v>59</v>
      </c>
      <c r="X65" s="80">
        <v>20.2</v>
      </c>
      <c r="Y65" s="80">
        <v>34.5</v>
      </c>
      <c r="Z65" s="80">
        <v>71.3</v>
      </c>
      <c r="AA65" s="80">
        <v>116</v>
      </c>
      <c r="AB65" s="80">
        <v>252</v>
      </c>
      <c r="AC65" s="19"/>
      <c r="AF65" s="19"/>
      <c r="AG65" s="17"/>
      <c r="AH65" s="19"/>
      <c r="AI65" s="17"/>
      <c r="AJ65" s="19"/>
      <c r="AK65" s="19"/>
      <c r="AL65" s="19"/>
      <c r="AM65" s="17"/>
      <c r="AN65" s="19"/>
      <c r="AO65" s="19"/>
    </row>
    <row r="66" spans="1:41" x14ac:dyDescent="0.2">
      <c r="A66" s="2"/>
      <c r="B66" s="59">
        <v>0.6946</v>
      </c>
      <c r="C66" s="59">
        <v>0.66690000000000005</v>
      </c>
      <c r="D66" s="59">
        <v>0.63600000000000001</v>
      </c>
      <c r="E66" s="59">
        <v>0.61560000000000004</v>
      </c>
      <c r="F66" s="59">
        <v>0.60760000000000003</v>
      </c>
      <c r="G66" s="59">
        <v>0.60319999999999996</v>
      </c>
      <c r="H66" s="59">
        <v>0.60340000000000005</v>
      </c>
      <c r="I66" s="59">
        <v>0.61350000000000005</v>
      </c>
      <c r="J66" s="59">
        <v>2.0674000000000001</v>
      </c>
      <c r="K66" s="59">
        <v>2.0326</v>
      </c>
      <c r="L66" s="59">
        <v>1.7149000000000001</v>
      </c>
      <c r="M66" s="59">
        <v>2.1547999999999998</v>
      </c>
      <c r="N66" s="59">
        <v>1.7672000000000001</v>
      </c>
      <c r="O66" s="59">
        <v>1.5670999999999999</v>
      </c>
      <c r="P66" s="59">
        <v>2.1894</v>
      </c>
      <c r="Q66" s="59">
        <v>1.6778999999999999</v>
      </c>
      <c r="R66" s="59">
        <v>1.2043999999999999</v>
      </c>
      <c r="S66" s="59">
        <v>0.84830000000000005</v>
      </c>
      <c r="T66" s="59">
        <v>1.2383</v>
      </c>
      <c r="U66" s="59">
        <v>0.88670000000000004</v>
      </c>
      <c r="V66" s="60" t="s">
        <v>66</v>
      </c>
      <c r="W66" s="60" t="s">
        <v>60</v>
      </c>
      <c r="X66" s="76">
        <v>0.62339999999999995</v>
      </c>
      <c r="Y66" s="76">
        <v>0.61409999999999998</v>
      </c>
      <c r="Z66" s="76">
        <v>0.63380000000000003</v>
      </c>
      <c r="AA66" s="76">
        <v>0.60389999999999999</v>
      </c>
      <c r="AB66" s="76">
        <v>0.5958</v>
      </c>
      <c r="AC66" s="2"/>
    </row>
    <row r="67" spans="1:41" x14ac:dyDescent="0.2">
      <c r="A67" s="2"/>
      <c r="B67" s="49">
        <f t="shared" ref="B67:I67" si="37">+ROUNDUP((B65*B66),2)</f>
        <v>10.39</v>
      </c>
      <c r="C67" s="49">
        <f t="shared" si="37"/>
        <v>20.860000000000003</v>
      </c>
      <c r="D67" s="49">
        <f t="shared" si="37"/>
        <v>46.16</v>
      </c>
      <c r="E67" s="49">
        <f t="shared" si="37"/>
        <v>107.37</v>
      </c>
      <c r="F67" s="49">
        <f t="shared" si="37"/>
        <v>233.75</v>
      </c>
      <c r="G67" s="49">
        <f t="shared" si="37"/>
        <v>475.33</v>
      </c>
      <c r="H67" s="49">
        <f t="shared" si="37"/>
        <v>820.33</v>
      </c>
      <c r="I67" s="49">
        <f t="shared" si="37"/>
        <v>1720.26</v>
      </c>
      <c r="J67" s="50">
        <f>+TRUNC((J65*J66),0)</f>
        <v>777</v>
      </c>
      <c r="K67" s="50">
        <f>+TRUNC((K65*K66),0)</f>
        <v>1617</v>
      </c>
      <c r="L67" s="50">
        <f>+TRUNC((L65*L66),0)</f>
        <v>221</v>
      </c>
      <c r="M67" s="50">
        <f>+TRUNC((M65*M66),0)</f>
        <v>530</v>
      </c>
      <c r="N67" s="49">
        <f>+TRUNC((N65*N66),2)</f>
        <v>56.19</v>
      </c>
      <c r="O67" s="49">
        <f>+TRUNC((O65*O66),2)</f>
        <v>18.41</v>
      </c>
      <c r="P67" s="49">
        <f>+TRUNC((P65*P66),2)</f>
        <v>77.19</v>
      </c>
      <c r="Q67" s="49">
        <f>+TRUNC((Q65*Q66),2)</f>
        <v>69.38</v>
      </c>
      <c r="R67" s="49">
        <f>+TRUNC((R65*R66),2)</f>
        <v>19.59</v>
      </c>
      <c r="S67" s="49">
        <f>+ROUNDUP((S65*S66),2)</f>
        <v>13.799999999999999</v>
      </c>
      <c r="T67" s="49">
        <f t="shared" ref="T67" si="38">+ROUNDUP((T65*T66),2)</f>
        <v>55.21</v>
      </c>
      <c r="U67" s="49">
        <f t="shared" ref="U67" si="39">+ROUNDUP((U65*U66),2)</f>
        <v>519.42999999999995</v>
      </c>
      <c r="V67" s="56" t="s">
        <v>67</v>
      </c>
      <c r="W67" s="56" t="s">
        <v>61</v>
      </c>
      <c r="X67" s="81">
        <f t="shared" ref="X67:AB67" si="40">+ROUNDUP((X65*X66),2)</f>
        <v>12.6</v>
      </c>
      <c r="Y67" s="81">
        <f t="shared" si="40"/>
        <v>21.19</v>
      </c>
      <c r="Z67" s="81">
        <f t="shared" si="40"/>
        <v>45.19</v>
      </c>
      <c r="AA67" s="81">
        <f t="shared" si="40"/>
        <v>70.06</v>
      </c>
      <c r="AB67" s="81">
        <f t="shared" si="40"/>
        <v>150.14999999999998</v>
      </c>
      <c r="AC67" s="16"/>
    </row>
    <row r="68" spans="1:41" x14ac:dyDescent="0.2">
      <c r="A68" s="37"/>
      <c r="B68" s="51">
        <f>TRUNC(25.4347*(18-B67)^1.81)</f>
        <v>1001</v>
      </c>
      <c r="C68" s="51">
        <f>TRUNC(5.8425*(38-C67)^1.81)</f>
        <v>1000</v>
      </c>
      <c r="D68" s="51">
        <f>TRUNC(1.53775*(82-D67)^1.81)</f>
        <v>1000</v>
      </c>
      <c r="E68" s="51">
        <f>TRUNC(0.36072*(180-E67)^1.85)</f>
        <v>1000</v>
      </c>
      <c r="F68" s="51">
        <f>TRUNC(0.03768*(480-F67)^1.85)</f>
        <v>1000</v>
      </c>
      <c r="G68" s="51">
        <f>TRUNC(0.01923*(830-G67)^1.85)</f>
        <v>1002</v>
      </c>
      <c r="H68" s="51">
        <f>TRUNC(0.00773*(1400-H67)^1.85)</f>
        <v>1000</v>
      </c>
      <c r="I68" s="51">
        <f>TRUNC(0.0017869*(3000-I67)^1.85)</f>
        <v>1000</v>
      </c>
      <c r="J68" s="51">
        <f>TRUNC(0.14354*(J67-220)^1.4)</f>
        <v>1002</v>
      </c>
      <c r="K68" s="51">
        <f>TRUNC(0.06533*(K67-640)^1.4)</f>
        <v>1002</v>
      </c>
      <c r="L68" s="51">
        <f>TRUNC(0.8465*(L67-75)^1.42)</f>
        <v>1002</v>
      </c>
      <c r="M68" s="51">
        <f>TRUNC(0.2797*(M67-100)^1.35)</f>
        <v>1004</v>
      </c>
      <c r="N68" s="51">
        <f>TRUNC(12.91*(N67-4)^1.1)</f>
        <v>1000</v>
      </c>
      <c r="O68" s="51">
        <f>TRUNC(51.39*(O67-1.5)^1.05)</f>
        <v>1000</v>
      </c>
      <c r="P68" s="51">
        <f>TRUNC(10.14*(P67-7)^1.08)</f>
        <v>1000</v>
      </c>
      <c r="Q68" s="51">
        <f>TRUNC(13.0449*(Q67-7)^1.05)</f>
        <v>1000</v>
      </c>
      <c r="R68" s="51">
        <f>TRUNC(47.8338*(R67-1.5)^1.05)</f>
        <v>1000</v>
      </c>
      <c r="S68" s="51">
        <f>TRUNC(5.74352*(28.5-S67)^1.92)</f>
        <v>1000</v>
      </c>
      <c r="T68" s="51">
        <f>TRUNC(1.466*(92-T67)^1.81)</f>
        <v>1000</v>
      </c>
      <c r="U68" s="51">
        <f>TRUNC(0.01431*(935-U67)^1.85)</f>
        <v>1000</v>
      </c>
      <c r="V68" s="57" t="s">
        <v>68</v>
      </c>
      <c r="W68" s="57" t="s">
        <v>62</v>
      </c>
      <c r="X68" s="82">
        <v>1000</v>
      </c>
      <c r="Y68" s="82">
        <v>1000</v>
      </c>
      <c r="Z68" s="82">
        <v>1000</v>
      </c>
      <c r="AA68" s="82">
        <v>1000</v>
      </c>
      <c r="AB68" s="82">
        <v>1000</v>
      </c>
      <c r="AC68" s="17"/>
      <c r="AD68" s="11"/>
      <c r="AE68" s="11"/>
      <c r="AG68" s="32"/>
    </row>
    <row r="69" spans="1:41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53"/>
      <c r="T69" s="48"/>
      <c r="U69" s="48"/>
      <c r="V69" s="38"/>
      <c r="W69" s="38"/>
      <c r="X69" s="17"/>
      <c r="Y69" s="17"/>
      <c r="Z69" s="17"/>
      <c r="AA69" s="17"/>
      <c r="AB69" s="17"/>
    </row>
    <row r="70" spans="1:41" x14ac:dyDescent="0.2">
      <c r="A70" s="4">
        <v>90</v>
      </c>
      <c r="B70" s="46">
        <v>16.239999999999998</v>
      </c>
      <c r="C70" s="45">
        <v>34.770000000000003</v>
      </c>
      <c r="D70" s="46">
        <v>82.3</v>
      </c>
      <c r="E70" s="46">
        <v>197.9</v>
      </c>
      <c r="F70" s="46">
        <v>437.5</v>
      </c>
      <c r="G70" s="46">
        <v>893.5</v>
      </c>
      <c r="H70" s="46">
        <v>1540</v>
      </c>
      <c r="I70" s="46">
        <v>3199</v>
      </c>
      <c r="J70" s="47">
        <v>323</v>
      </c>
      <c r="K70" s="47">
        <v>713</v>
      </c>
      <c r="L70" s="47">
        <v>120</v>
      </c>
      <c r="M70" s="47">
        <v>210</v>
      </c>
      <c r="N70" s="46">
        <v>26.33</v>
      </c>
      <c r="O70" s="46">
        <v>10.24</v>
      </c>
      <c r="P70" s="46">
        <v>28.62</v>
      </c>
      <c r="Q70" s="46">
        <v>34.14</v>
      </c>
      <c r="R70" s="46">
        <v>13.77</v>
      </c>
      <c r="S70" s="46">
        <v>18.739999999999998</v>
      </c>
      <c r="T70" s="46">
        <v>51.5</v>
      </c>
      <c r="U70" s="46">
        <v>677.3</v>
      </c>
      <c r="V70" s="55" t="s">
        <v>65</v>
      </c>
      <c r="W70" s="55" t="s">
        <v>59</v>
      </c>
      <c r="X70" s="79">
        <v>23</v>
      </c>
      <c r="Y70" s="79">
        <v>39</v>
      </c>
      <c r="Z70" s="79">
        <v>81.3</v>
      </c>
      <c r="AA70" s="79">
        <v>142</v>
      </c>
      <c r="AB70" s="79">
        <v>290</v>
      </c>
      <c r="AC70" s="19"/>
      <c r="AF70" s="19"/>
      <c r="AG70" s="17"/>
      <c r="AH70" s="19"/>
      <c r="AI70" s="17"/>
      <c r="AJ70" s="19"/>
      <c r="AK70" s="19"/>
      <c r="AL70" s="19"/>
      <c r="AM70" s="17"/>
      <c r="AN70" s="19"/>
      <c r="AO70" s="19"/>
    </row>
    <row r="71" spans="1:41" x14ac:dyDescent="0.2">
      <c r="A71" s="2"/>
      <c r="B71" s="59">
        <v>0.63959999999999995</v>
      </c>
      <c r="C71" s="59">
        <v>0.5998</v>
      </c>
      <c r="D71" s="59">
        <v>0.56089999999999995</v>
      </c>
      <c r="E71" s="59">
        <v>0.54249999999999998</v>
      </c>
      <c r="F71" s="59">
        <v>0.53410000000000002</v>
      </c>
      <c r="G71" s="59">
        <v>0.5323</v>
      </c>
      <c r="H71" s="59">
        <v>0.53259999999999996</v>
      </c>
      <c r="I71" s="59">
        <v>0.53779999999999994</v>
      </c>
      <c r="J71" s="59">
        <v>2.4041999999999999</v>
      </c>
      <c r="K71" s="59">
        <v>2.2673999999999999</v>
      </c>
      <c r="L71" s="59">
        <v>1.8492999999999999</v>
      </c>
      <c r="M71" s="59">
        <v>2.5211999999999999</v>
      </c>
      <c r="N71" s="59">
        <v>2.1341000000000001</v>
      </c>
      <c r="O71" s="59">
        <v>1.7970999999999999</v>
      </c>
      <c r="P71" s="59">
        <v>2.6989000000000001</v>
      </c>
      <c r="Q71" s="59">
        <v>2.0327000000000002</v>
      </c>
      <c r="R71" s="59">
        <v>1.423</v>
      </c>
      <c r="S71" s="59">
        <v>0.73599999999999999</v>
      </c>
      <c r="T71" s="59">
        <v>1.0719000000000001</v>
      </c>
      <c r="U71" s="59">
        <v>0.76680000000000004</v>
      </c>
      <c r="V71" s="60" t="s">
        <v>66</v>
      </c>
      <c r="W71" s="60" t="s">
        <v>60</v>
      </c>
      <c r="X71" s="76">
        <v>0.58050000000000002</v>
      </c>
      <c r="Y71" s="76">
        <v>0.56920000000000004</v>
      </c>
      <c r="Z71" s="76">
        <v>0.58220000000000005</v>
      </c>
      <c r="AA71" s="76">
        <v>0.52059999999999995</v>
      </c>
      <c r="AB71" s="76">
        <v>0.51100000000000001</v>
      </c>
      <c r="AC71" s="2"/>
    </row>
    <row r="72" spans="1:41" x14ac:dyDescent="0.2">
      <c r="A72" s="2"/>
      <c r="B72" s="49">
        <f t="shared" ref="B72:I72" si="41">+ROUNDUP((B70*B71),2)</f>
        <v>10.39</v>
      </c>
      <c r="C72" s="49">
        <f t="shared" si="41"/>
        <v>20.860000000000003</v>
      </c>
      <c r="D72" s="49">
        <f t="shared" si="41"/>
        <v>46.169999999999995</v>
      </c>
      <c r="E72" s="49">
        <f t="shared" si="41"/>
        <v>107.37</v>
      </c>
      <c r="F72" s="49">
        <f t="shared" si="41"/>
        <v>233.67</v>
      </c>
      <c r="G72" s="49">
        <f t="shared" si="41"/>
        <v>475.62</v>
      </c>
      <c r="H72" s="49">
        <f t="shared" si="41"/>
        <v>820.21</v>
      </c>
      <c r="I72" s="49">
        <f t="shared" si="41"/>
        <v>1720.43</v>
      </c>
      <c r="J72" s="50">
        <f>+TRUNC((J70*J71),0)</f>
        <v>776</v>
      </c>
      <c r="K72" s="50">
        <f>+TRUNC((K70*K71),0)</f>
        <v>1616</v>
      </c>
      <c r="L72" s="50">
        <f>+TRUNC((L70*L71),0)</f>
        <v>221</v>
      </c>
      <c r="M72" s="50">
        <f>+TRUNC((M70*M71),0)</f>
        <v>529</v>
      </c>
      <c r="N72" s="49">
        <f>+TRUNC((N70*N71),2)</f>
        <v>56.19</v>
      </c>
      <c r="O72" s="49">
        <f>+TRUNC((O70*O71),2)</f>
        <v>18.399999999999999</v>
      </c>
      <c r="P72" s="49">
        <f>+TRUNC((P70*P71),2)</f>
        <v>77.239999999999995</v>
      </c>
      <c r="Q72" s="49">
        <f>+TRUNC((Q70*Q71),2)</f>
        <v>69.39</v>
      </c>
      <c r="R72" s="49">
        <f>+TRUNC((R70*R71),2)</f>
        <v>19.59</v>
      </c>
      <c r="S72" s="49">
        <f>+ROUNDUP((S70*S71),2)</f>
        <v>13.799999999999999</v>
      </c>
      <c r="T72" s="49">
        <f t="shared" ref="T72" si="42">+ROUNDUP((T70*T71),2)</f>
        <v>55.21</v>
      </c>
      <c r="U72" s="49">
        <f t="shared" ref="U72" si="43">+ROUNDUP((U70*U71),2)</f>
        <v>519.36</v>
      </c>
      <c r="V72" s="56" t="s">
        <v>67</v>
      </c>
      <c r="W72" s="56" t="s">
        <v>61</v>
      </c>
      <c r="X72" s="81">
        <f t="shared" ref="X72:AB72" si="44">+ROUNDUP((X70*X71),2)</f>
        <v>13.36</v>
      </c>
      <c r="Y72" s="81">
        <f t="shared" si="44"/>
        <v>22.200000000000003</v>
      </c>
      <c r="Z72" s="81">
        <f t="shared" si="44"/>
        <v>47.339999999999996</v>
      </c>
      <c r="AA72" s="81">
        <f t="shared" si="44"/>
        <v>73.930000000000007</v>
      </c>
      <c r="AB72" s="81">
        <f t="shared" si="44"/>
        <v>148.19</v>
      </c>
      <c r="AC72" s="16"/>
    </row>
    <row r="73" spans="1:41" x14ac:dyDescent="0.2">
      <c r="A73" s="37"/>
      <c r="B73" s="51">
        <f>TRUNC(25.4347*(18-B72)^1.81)</f>
        <v>1001</v>
      </c>
      <c r="C73" s="51">
        <f>TRUNC(5.8425*(38-C72)^1.81)</f>
        <v>1000</v>
      </c>
      <c r="D73" s="51">
        <f>TRUNC(1.53775*(82-D72)^1.81)</f>
        <v>1000</v>
      </c>
      <c r="E73" s="51">
        <f>TRUNC(0.36072*(180-E72)^1.85)</f>
        <v>1000</v>
      </c>
      <c r="F73" s="51">
        <f>TRUNC(0.03768*(480-F72)^1.85)</f>
        <v>1000</v>
      </c>
      <c r="G73" s="51">
        <f>TRUNC(0.01923*(830-G72)^1.85)</f>
        <v>1001</v>
      </c>
      <c r="H73" s="51">
        <f>TRUNC(0.00773*(1400-H72)^1.85)</f>
        <v>1000</v>
      </c>
      <c r="I73" s="51">
        <f>TRUNC(0.0017869*(3000-I72)^1.85)</f>
        <v>1000</v>
      </c>
      <c r="J73" s="51">
        <f>TRUNC(0.14354*(J72-220)^1.4)</f>
        <v>1000</v>
      </c>
      <c r="K73" s="51">
        <f>TRUNC(0.06533*(K72-640)^1.4)</f>
        <v>1000</v>
      </c>
      <c r="L73" s="51">
        <f>TRUNC(0.8465*(L72-75)^1.42)</f>
        <v>1002</v>
      </c>
      <c r="M73" s="51">
        <f>TRUNC(0.2797*(M72-100)^1.35)</f>
        <v>1001</v>
      </c>
      <c r="N73" s="51">
        <f>TRUNC(12.91*(N72-4)^1.1)</f>
        <v>1000</v>
      </c>
      <c r="O73" s="51">
        <f>TRUNC(51.39*(O72-1.5)^1.05)</f>
        <v>1000</v>
      </c>
      <c r="P73" s="51">
        <f>TRUNC(10.14*(P72-7)^1.08)</f>
        <v>1000</v>
      </c>
      <c r="Q73" s="51">
        <f>TRUNC(13.0449*(Q72-7)^1.05)</f>
        <v>1000</v>
      </c>
      <c r="R73" s="51">
        <f>TRUNC(47.8338*(R72-1.5)^1.05)</f>
        <v>1000</v>
      </c>
      <c r="S73" s="51">
        <f>TRUNC(5.74352*(28.5-S72)^1.92)</f>
        <v>1000</v>
      </c>
      <c r="T73" s="51">
        <f>TRUNC(1.466*(92-T72)^1.81)</f>
        <v>1000</v>
      </c>
      <c r="U73" s="51">
        <f>TRUNC(0.01431*(935-U72)^1.85)</f>
        <v>1000</v>
      </c>
      <c r="V73" s="57" t="s">
        <v>68</v>
      </c>
      <c r="W73" s="57" t="s">
        <v>62</v>
      </c>
      <c r="X73" s="82">
        <v>1000</v>
      </c>
      <c r="Y73" s="82">
        <v>1000</v>
      </c>
      <c r="Z73" s="82">
        <v>1000</v>
      </c>
      <c r="AA73" s="82">
        <v>1000</v>
      </c>
      <c r="AB73" s="82">
        <v>1000</v>
      </c>
      <c r="AC73" s="17"/>
      <c r="AD73" s="11"/>
      <c r="AE73" s="11"/>
    </row>
    <row r="74" spans="1:41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53"/>
      <c r="T74" s="48"/>
      <c r="U74" s="48"/>
      <c r="V74" s="38"/>
      <c r="W74" s="38"/>
      <c r="X74" s="83"/>
      <c r="Y74" s="83"/>
      <c r="Z74" s="83"/>
      <c r="AA74" s="83"/>
      <c r="AB74" s="83"/>
    </row>
    <row r="75" spans="1:41" x14ac:dyDescent="0.2">
      <c r="A75" s="4">
        <v>95</v>
      </c>
      <c r="B75" s="46">
        <v>18.32</v>
      </c>
      <c r="C75" s="45">
        <v>40.450000000000003</v>
      </c>
      <c r="D75" s="46">
        <v>97.83</v>
      </c>
      <c r="E75" s="46">
        <v>236.3</v>
      </c>
      <c r="F75" s="46">
        <v>525.79999999999995</v>
      </c>
      <c r="G75" s="46">
        <v>1075</v>
      </c>
      <c r="H75" s="46">
        <v>1856</v>
      </c>
      <c r="I75" s="46">
        <v>3887</v>
      </c>
      <c r="J75" s="47">
        <v>263</v>
      </c>
      <c r="K75" s="47">
        <v>615</v>
      </c>
      <c r="L75" s="47">
        <v>108</v>
      </c>
      <c r="M75" s="47">
        <v>169</v>
      </c>
      <c r="N75" s="46">
        <v>20.81</v>
      </c>
      <c r="O75" s="46">
        <v>8.75</v>
      </c>
      <c r="P75" s="46">
        <v>22.15</v>
      </c>
      <c r="Q75" s="46">
        <v>26.86</v>
      </c>
      <c r="R75" s="46">
        <v>11.09</v>
      </c>
      <c r="S75" s="46">
        <v>22.9</v>
      </c>
      <c r="T75" s="46">
        <v>63</v>
      </c>
      <c r="U75" s="46">
        <v>829.3</v>
      </c>
      <c r="V75" s="55" t="s">
        <v>65</v>
      </c>
      <c r="W75" s="55" t="s">
        <v>59</v>
      </c>
      <c r="X75" s="79">
        <v>25</v>
      </c>
      <c r="Y75" s="79">
        <v>42.3</v>
      </c>
      <c r="Z75" s="79">
        <v>88.3</v>
      </c>
      <c r="AA75" s="79">
        <v>155</v>
      </c>
      <c r="AB75" s="79">
        <v>316</v>
      </c>
      <c r="AC75" s="19"/>
      <c r="AF75" s="19"/>
      <c r="AG75" s="17"/>
      <c r="AH75" s="19"/>
      <c r="AI75" s="17"/>
      <c r="AJ75" s="19"/>
      <c r="AK75" s="19"/>
      <c r="AL75" s="19"/>
      <c r="AM75" s="17"/>
      <c r="AN75" s="19"/>
      <c r="AO75" s="19"/>
    </row>
    <row r="76" spans="1:41" x14ac:dyDescent="0.2">
      <c r="A76" s="2"/>
      <c r="B76" s="59">
        <v>0.56659999999999999</v>
      </c>
      <c r="C76" s="59">
        <v>0.51559999999999995</v>
      </c>
      <c r="D76" s="59">
        <v>0.4718</v>
      </c>
      <c r="E76" s="59">
        <v>0.45440000000000003</v>
      </c>
      <c r="F76" s="59">
        <v>0.4446</v>
      </c>
      <c r="G76" s="59">
        <v>0.4425</v>
      </c>
      <c r="H76" s="59">
        <v>0.44190000000000002</v>
      </c>
      <c r="I76" s="59">
        <v>0.44259999999999999</v>
      </c>
      <c r="J76" s="59">
        <v>2.9521999999999999</v>
      </c>
      <c r="K76" s="59">
        <v>2.6301000000000001</v>
      </c>
      <c r="L76" s="59">
        <v>2.0562999999999998</v>
      </c>
      <c r="M76" s="59">
        <v>3.1395</v>
      </c>
      <c r="N76" s="59">
        <v>2.7</v>
      </c>
      <c r="O76" s="59">
        <v>2.1042999999999998</v>
      </c>
      <c r="P76" s="59">
        <v>3.4861</v>
      </c>
      <c r="Q76" s="59">
        <v>2.5823</v>
      </c>
      <c r="R76" s="59">
        <v>1.768</v>
      </c>
      <c r="S76" s="59">
        <v>0.60250000000000004</v>
      </c>
      <c r="T76" s="59">
        <v>0.87619999999999998</v>
      </c>
      <c r="U76" s="59">
        <v>0.62619999999999998</v>
      </c>
      <c r="V76" s="60" t="s">
        <v>66</v>
      </c>
      <c r="W76" s="60" t="s">
        <v>60</v>
      </c>
      <c r="X76" s="76">
        <v>0.53549999999999998</v>
      </c>
      <c r="Y76" s="76">
        <v>0.52200000000000002</v>
      </c>
      <c r="Z76" s="76">
        <v>0.52190000000000003</v>
      </c>
      <c r="AA76" s="76">
        <v>0.42159999999999997</v>
      </c>
      <c r="AB76" s="76">
        <v>0.41010000000000002</v>
      </c>
      <c r="AC76" s="2"/>
    </row>
    <row r="77" spans="1:41" x14ac:dyDescent="0.2">
      <c r="A77" s="2"/>
      <c r="B77" s="49">
        <f t="shared" ref="B77:I77" si="45">+ROUNDUP((B75*B76),2)</f>
        <v>10.39</v>
      </c>
      <c r="C77" s="49">
        <f t="shared" si="45"/>
        <v>20.860000000000003</v>
      </c>
      <c r="D77" s="49">
        <f t="shared" si="45"/>
        <v>46.16</v>
      </c>
      <c r="E77" s="49">
        <f t="shared" si="45"/>
        <v>107.38000000000001</v>
      </c>
      <c r="F77" s="49">
        <f t="shared" si="45"/>
        <v>233.78</v>
      </c>
      <c r="G77" s="49">
        <f t="shared" si="45"/>
        <v>475.69</v>
      </c>
      <c r="H77" s="49">
        <f t="shared" si="45"/>
        <v>820.17</v>
      </c>
      <c r="I77" s="49">
        <f t="shared" si="45"/>
        <v>1720.39</v>
      </c>
      <c r="J77" s="50">
        <f>+TRUNC((J75*J76),0)</f>
        <v>776</v>
      </c>
      <c r="K77" s="50">
        <f>+TRUNC((K75*K76),0)</f>
        <v>1617</v>
      </c>
      <c r="L77" s="50">
        <f>+TRUNC((L75*L76),0)</f>
        <v>222</v>
      </c>
      <c r="M77" s="50">
        <f>+TRUNC((M75*M76),0)</f>
        <v>530</v>
      </c>
      <c r="N77" s="49">
        <f>+TRUNC((N75*N76),2)</f>
        <v>56.18</v>
      </c>
      <c r="O77" s="49">
        <f>+TRUNC((O75*O76),2)</f>
        <v>18.41</v>
      </c>
      <c r="P77" s="49">
        <f>+TRUNC((P75*P76),2)</f>
        <v>77.209999999999994</v>
      </c>
      <c r="Q77" s="49">
        <f>+TRUNC((Q75*Q76),2)</f>
        <v>69.36</v>
      </c>
      <c r="R77" s="49">
        <f>+TRUNC((R75*R76),2)</f>
        <v>19.600000000000001</v>
      </c>
      <c r="S77" s="49">
        <f>+ROUNDUP((S75*S76),2)</f>
        <v>13.799999999999999</v>
      </c>
      <c r="T77" s="49">
        <f t="shared" ref="T77" si="46">+ROUNDUP((T75*T76),2)</f>
        <v>55.21</v>
      </c>
      <c r="U77" s="49">
        <f t="shared" ref="U77" si="47">+ROUNDUP((U75*U76),2)</f>
        <v>519.30999999999995</v>
      </c>
      <c r="V77" s="56" t="s">
        <v>67</v>
      </c>
      <c r="W77" s="56" t="s">
        <v>61</v>
      </c>
      <c r="X77" s="81">
        <f t="shared" ref="X77:AB77" si="48">+ROUNDUP((X75*X76),2)</f>
        <v>13.39</v>
      </c>
      <c r="Y77" s="81">
        <f t="shared" si="48"/>
        <v>22.09</v>
      </c>
      <c r="Z77" s="81">
        <f t="shared" si="48"/>
        <v>46.089999999999996</v>
      </c>
      <c r="AA77" s="81">
        <f t="shared" si="48"/>
        <v>65.350000000000009</v>
      </c>
      <c r="AB77" s="81">
        <f t="shared" si="48"/>
        <v>129.6</v>
      </c>
      <c r="AC77" s="16"/>
    </row>
    <row r="78" spans="1:41" x14ac:dyDescent="0.2">
      <c r="A78" s="37"/>
      <c r="B78" s="51">
        <f>TRUNC(25.4347*(18-B77)^1.81)</f>
        <v>1001</v>
      </c>
      <c r="C78" s="51">
        <f>TRUNC(5.8425*(38-C77)^1.81)</f>
        <v>1000</v>
      </c>
      <c r="D78" s="51">
        <f>TRUNC(1.53775*(82-D77)^1.81)</f>
        <v>1000</v>
      </c>
      <c r="E78" s="51">
        <f>TRUNC(0.36072*(180-E77)^1.85)</f>
        <v>1000</v>
      </c>
      <c r="F78" s="51">
        <f>TRUNC(0.03768*(480-F77)^1.85)</f>
        <v>1000</v>
      </c>
      <c r="G78" s="51">
        <f>TRUNC(0.01923*(830-G77)^1.85)</f>
        <v>1000</v>
      </c>
      <c r="H78" s="51">
        <f>TRUNC(0.00773*(1400-H77)^1.85)</f>
        <v>1000</v>
      </c>
      <c r="I78" s="51">
        <f>TRUNC(0.0017869*(3000-I77)^1.85)</f>
        <v>1000</v>
      </c>
      <c r="J78" s="51">
        <f>TRUNC(0.14354*(J77-220)^1.4)</f>
        <v>1000</v>
      </c>
      <c r="K78" s="51">
        <f>TRUNC(0.06533*(K77-640)^1.4)</f>
        <v>1002</v>
      </c>
      <c r="L78" s="51">
        <f>TRUNC(0.8465*(L77-75)^1.42)</f>
        <v>1012</v>
      </c>
      <c r="M78" s="51">
        <f>TRUNC(0.2797*(M77-100)^1.35)</f>
        <v>1004</v>
      </c>
      <c r="N78" s="51">
        <f>TRUNC(12.91*(N77-4)^1.1)</f>
        <v>1000</v>
      </c>
      <c r="O78" s="51">
        <f>TRUNC(51.39*(O77-1.5)^1.05)</f>
        <v>1000</v>
      </c>
      <c r="P78" s="51">
        <f>TRUNC(10.14*(P77-7)^1.08)</f>
        <v>1000</v>
      </c>
      <c r="Q78" s="51">
        <f>TRUNC(13.0449*(Q77-7)^1.05)</f>
        <v>1000</v>
      </c>
      <c r="R78" s="51">
        <f>TRUNC(47.8338*(R77-1.5)^1.05)</f>
        <v>1000</v>
      </c>
      <c r="S78" s="51">
        <f>TRUNC(5.74352*(28.5-S77)^1.92)</f>
        <v>1000</v>
      </c>
      <c r="T78" s="51">
        <f>TRUNC(1.466*(92-T77)^1.81)</f>
        <v>1000</v>
      </c>
      <c r="U78" s="51">
        <f>TRUNC(0.01431*(935-U77)^1.85)</f>
        <v>1000</v>
      </c>
      <c r="V78" s="57" t="s">
        <v>68</v>
      </c>
      <c r="W78" s="57" t="s">
        <v>62</v>
      </c>
      <c r="X78" s="82">
        <v>1000</v>
      </c>
      <c r="Y78" s="82">
        <v>1000</v>
      </c>
      <c r="Z78" s="82">
        <v>1000</v>
      </c>
      <c r="AA78" s="82">
        <v>1000</v>
      </c>
      <c r="AB78" s="82">
        <v>1000</v>
      </c>
      <c r="AC78" s="17"/>
      <c r="AD78" s="11"/>
      <c r="AE78" s="11"/>
    </row>
    <row r="79" spans="1:41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53"/>
      <c r="T79" s="48"/>
      <c r="U79" s="48"/>
      <c r="V79" s="38"/>
      <c r="W79" s="38"/>
      <c r="X79" s="83"/>
      <c r="Y79" s="83"/>
      <c r="Z79" s="83"/>
      <c r="AA79" s="83"/>
      <c r="AB79" s="83"/>
    </row>
    <row r="80" spans="1:41" x14ac:dyDescent="0.2">
      <c r="A80" s="4" t="s">
        <v>9</v>
      </c>
      <c r="B80" s="46">
        <v>21.83</v>
      </c>
      <c r="C80" s="45">
        <v>50.34</v>
      </c>
      <c r="D80" s="46">
        <v>125.21</v>
      </c>
      <c r="E80" s="45">
        <v>305.5</v>
      </c>
      <c r="F80" s="46">
        <v>689.6</v>
      </c>
      <c r="G80" s="46">
        <v>1424</v>
      </c>
      <c r="H80" s="46">
        <v>2476</v>
      </c>
      <c r="I80" s="46">
        <v>5247</v>
      </c>
      <c r="J80" s="47">
        <v>196</v>
      </c>
      <c r="K80" s="47">
        <v>477</v>
      </c>
      <c r="L80" s="47">
        <v>93</v>
      </c>
      <c r="M80" s="47">
        <v>122</v>
      </c>
      <c r="N80" s="46">
        <v>15.24</v>
      </c>
      <c r="O80" s="46">
        <v>7.26</v>
      </c>
      <c r="P80" s="46">
        <v>16.14</v>
      </c>
      <c r="Q80" s="46">
        <v>19.57</v>
      </c>
      <c r="R80" s="46">
        <v>8.2100000000000009</v>
      </c>
      <c r="S80" s="46">
        <v>30.82</v>
      </c>
      <c r="T80" s="46">
        <v>84.78</v>
      </c>
      <c r="U80" s="46">
        <v>1117</v>
      </c>
      <c r="V80" s="55" t="s">
        <v>65</v>
      </c>
      <c r="W80" s="55" t="s">
        <v>59</v>
      </c>
      <c r="X80" s="79">
        <v>27.1</v>
      </c>
      <c r="Y80" s="79">
        <v>29.2</v>
      </c>
      <c r="Z80" s="79">
        <v>31.4</v>
      </c>
      <c r="AA80" s="79">
        <v>158</v>
      </c>
      <c r="AB80" s="79">
        <v>344</v>
      </c>
      <c r="AC80" s="19"/>
      <c r="AF80" s="19"/>
      <c r="AG80" s="17"/>
      <c r="AH80" s="19"/>
      <c r="AI80" s="17"/>
      <c r="AJ80" s="19"/>
      <c r="AK80" s="19"/>
      <c r="AL80" s="19"/>
      <c r="AM80" s="17"/>
      <c r="AN80" s="19"/>
      <c r="AO80" s="19"/>
    </row>
    <row r="81" spans="1:31" x14ac:dyDescent="0.2">
      <c r="A81" s="2"/>
      <c r="B81" s="59">
        <v>0.47570000000000001</v>
      </c>
      <c r="C81" s="59">
        <v>0.41420000000000001</v>
      </c>
      <c r="D81" s="59">
        <v>0.36859999999999998</v>
      </c>
      <c r="E81" s="59">
        <v>0.35139999999999999</v>
      </c>
      <c r="F81" s="59">
        <v>0.33900000000000002</v>
      </c>
      <c r="G81" s="59">
        <v>0.33379999999999999</v>
      </c>
      <c r="H81" s="59">
        <v>0.33129999999999998</v>
      </c>
      <c r="I81" s="59">
        <v>0.32790000000000002</v>
      </c>
      <c r="J81" s="59">
        <v>3.9676</v>
      </c>
      <c r="K81" s="59">
        <v>3.3925000000000001</v>
      </c>
      <c r="L81" s="59">
        <v>2.3824999999999998</v>
      </c>
      <c r="M81" s="59">
        <v>4.3531000000000004</v>
      </c>
      <c r="N81" s="59">
        <v>3.6863000000000001</v>
      </c>
      <c r="O81" s="59">
        <v>2.5360999999999998</v>
      </c>
      <c r="P81" s="59">
        <v>4.7840999999999996</v>
      </c>
      <c r="Q81" s="59">
        <v>3.5446</v>
      </c>
      <c r="R81" s="59">
        <v>2.3883000000000001</v>
      </c>
      <c r="S81" s="59">
        <v>0.44769999999999999</v>
      </c>
      <c r="T81" s="59">
        <v>0.65110000000000001</v>
      </c>
      <c r="U81" s="59">
        <v>0.46489999999999998</v>
      </c>
      <c r="V81" s="60" t="s">
        <v>66</v>
      </c>
      <c r="W81" s="60" t="s">
        <v>60</v>
      </c>
      <c r="X81" s="76">
        <v>0.47949999999999998</v>
      </c>
      <c r="Y81" s="76">
        <v>0.4637</v>
      </c>
      <c r="Z81" s="76">
        <v>0.4531</v>
      </c>
      <c r="AA81" s="76">
        <v>0.30680000000000002</v>
      </c>
      <c r="AB81" s="76">
        <v>0.29289999999999999</v>
      </c>
      <c r="AC81" s="2"/>
    </row>
    <row r="82" spans="1:31" x14ac:dyDescent="0.2">
      <c r="A82" s="2"/>
      <c r="B82" s="49">
        <f t="shared" ref="B82:I82" si="49">+ROUNDUP((B80*B81),2)</f>
        <v>10.39</v>
      </c>
      <c r="C82" s="49">
        <f t="shared" si="49"/>
        <v>20.860000000000003</v>
      </c>
      <c r="D82" s="49">
        <f t="shared" si="49"/>
        <v>46.16</v>
      </c>
      <c r="E82" s="49">
        <f t="shared" si="49"/>
        <v>107.36</v>
      </c>
      <c r="F82" s="49">
        <f t="shared" si="49"/>
        <v>233.78</v>
      </c>
      <c r="G82" s="49">
        <f t="shared" si="49"/>
        <v>475.34</v>
      </c>
      <c r="H82" s="49">
        <f t="shared" si="49"/>
        <v>820.3</v>
      </c>
      <c r="I82" s="49">
        <f t="shared" si="49"/>
        <v>1720.5</v>
      </c>
      <c r="J82" s="50">
        <f>+TRUNC((J80*J81),0)</f>
        <v>777</v>
      </c>
      <c r="K82" s="50">
        <f>+TRUNC((K80*K81),0)</f>
        <v>1618</v>
      </c>
      <c r="L82" s="50">
        <f>+TRUNC((L80*L81),0)</f>
        <v>221</v>
      </c>
      <c r="M82" s="50">
        <f>+TRUNC((M80*M81),0)</f>
        <v>531</v>
      </c>
      <c r="N82" s="49">
        <f>+TRUNC((N80*N81),2)</f>
        <v>56.17</v>
      </c>
      <c r="O82" s="49">
        <f>+TRUNC((O80*O81),2)</f>
        <v>18.41</v>
      </c>
      <c r="P82" s="49">
        <f>+TRUNC((P80*P81),2)</f>
        <v>77.209999999999994</v>
      </c>
      <c r="Q82" s="49">
        <f>+TRUNC((Q80*Q81),2)</f>
        <v>69.36</v>
      </c>
      <c r="R82" s="49">
        <f>+TRUNC((R80*R81),2)</f>
        <v>19.600000000000001</v>
      </c>
      <c r="S82" s="49">
        <f>+ROUNDUP((S80*S81),2)</f>
        <v>13.799999999999999</v>
      </c>
      <c r="T82" s="49">
        <f t="shared" ref="T82" si="50">+ROUNDUP((T80*T81),2)</f>
        <v>55.21</v>
      </c>
      <c r="U82" s="49">
        <f t="shared" ref="U82" si="51">+ROUNDUP((U80*U81),2)</f>
        <v>519.29999999999995</v>
      </c>
      <c r="V82" s="56" t="s">
        <v>67</v>
      </c>
      <c r="W82" s="56" t="s">
        <v>61</v>
      </c>
      <c r="X82" s="81">
        <f t="shared" ref="X82:AB82" si="52">+ROUNDUP((X80*X81),2)</f>
        <v>13</v>
      </c>
      <c r="Y82" s="81">
        <f t="shared" si="52"/>
        <v>13.549999999999999</v>
      </c>
      <c r="Z82" s="81">
        <f t="shared" si="52"/>
        <v>14.23</v>
      </c>
      <c r="AA82" s="81">
        <f t="shared" si="52"/>
        <v>48.48</v>
      </c>
      <c r="AB82" s="81">
        <f t="shared" si="52"/>
        <v>100.76</v>
      </c>
      <c r="AC82" s="16"/>
    </row>
    <row r="83" spans="1:31" x14ac:dyDescent="0.2">
      <c r="A83" s="37"/>
      <c r="B83" s="51">
        <f>TRUNC(25.4347*(18-B82)^1.81)</f>
        <v>1001</v>
      </c>
      <c r="C83" s="51">
        <f>TRUNC(5.8425*(38-C82)^1.81)</f>
        <v>1000</v>
      </c>
      <c r="D83" s="51">
        <f>TRUNC(1.53775*(82-D82)^1.81)</f>
        <v>1000</v>
      </c>
      <c r="E83" s="51">
        <f>TRUNC(0.36072*(180-E82)^1.85)</f>
        <v>1000</v>
      </c>
      <c r="F83" s="51">
        <f>TRUNC(0.03768*(480-F82)^1.85)</f>
        <v>1000</v>
      </c>
      <c r="G83" s="51">
        <f>TRUNC(0.01923*(830-G82)^1.85)</f>
        <v>1002</v>
      </c>
      <c r="H83" s="51">
        <f>TRUNC(0.00773*(1400-H82)^1.85)</f>
        <v>1000</v>
      </c>
      <c r="I83" s="51">
        <f>TRUNC(0.0017869*(3000-I82)^1.85)</f>
        <v>1000</v>
      </c>
      <c r="J83" s="51">
        <f>TRUNC(0.14354*(J82-220)^1.4)</f>
        <v>1002</v>
      </c>
      <c r="K83" s="51">
        <f>TRUNC(0.06533*(K82-640)^1.4)</f>
        <v>1003</v>
      </c>
      <c r="L83" s="51">
        <f>TRUNC(0.8465*(L82-75)^1.42)</f>
        <v>1002</v>
      </c>
      <c r="M83" s="51">
        <f>TRUNC(0.2797*(M82-100)^1.35)</f>
        <v>1007</v>
      </c>
      <c r="N83" s="51">
        <f>TRUNC(12.91*(N82-4)^1.1)</f>
        <v>1000</v>
      </c>
      <c r="O83" s="51">
        <f>TRUNC(51.39*(O82-1.5)^1.05)</f>
        <v>1000</v>
      </c>
      <c r="P83" s="51">
        <f>TRUNC(10.14*(P82-7)^1.08)</f>
        <v>1000</v>
      </c>
      <c r="Q83" s="51">
        <f>TRUNC(13.0449*(Q82-7)^1.05)</f>
        <v>1000</v>
      </c>
      <c r="R83" s="51">
        <f>TRUNC(47.8338*(R82-1.5)^1.05)</f>
        <v>1000</v>
      </c>
      <c r="S83" s="51">
        <f>TRUNC(5.74352*(28.5-S82)^1.92)</f>
        <v>1000</v>
      </c>
      <c r="T83" s="51">
        <f>TRUNC(1.466*(92-T82)^1.81)</f>
        <v>1000</v>
      </c>
      <c r="U83" s="51">
        <f>TRUNC(0.01431*(935-U82)^1.85)</f>
        <v>1000</v>
      </c>
      <c r="V83" s="57" t="s">
        <v>68</v>
      </c>
      <c r="W83" s="57" t="s">
        <v>62</v>
      </c>
      <c r="X83" s="82">
        <v>1000</v>
      </c>
      <c r="Y83" s="82">
        <v>1000</v>
      </c>
      <c r="Z83" s="82">
        <v>1000</v>
      </c>
      <c r="AA83" s="82">
        <v>1000</v>
      </c>
      <c r="AB83" s="82">
        <v>1000</v>
      </c>
      <c r="AC83" s="17"/>
      <c r="AD83" s="11"/>
      <c r="AE83" s="11"/>
    </row>
    <row r="84" spans="1:31" x14ac:dyDescent="0.2">
      <c r="M84" s="2"/>
    </row>
    <row r="85" spans="1:31" x14ac:dyDescent="0.2">
      <c r="M85" s="2"/>
    </row>
    <row r="86" spans="1:31" x14ac:dyDescent="0.2">
      <c r="M86" s="2"/>
    </row>
    <row r="87" spans="1:31" x14ac:dyDescent="0.2">
      <c r="M87" s="2"/>
    </row>
    <row r="88" spans="1:31" x14ac:dyDescent="0.2">
      <c r="M88" s="2"/>
    </row>
    <row r="89" spans="1:31" x14ac:dyDescent="0.2">
      <c r="M89" s="2"/>
    </row>
    <row r="90" spans="1:31" x14ac:dyDescent="0.2">
      <c r="M90" s="2"/>
    </row>
    <row r="91" spans="1:31" x14ac:dyDescent="0.2">
      <c r="M91" s="2"/>
    </row>
    <row r="92" spans="1:31" x14ac:dyDescent="0.2">
      <c r="M92" s="2"/>
    </row>
    <row r="94" spans="1:31" x14ac:dyDescent="0.2">
      <c r="B94" s="11"/>
      <c r="C94" s="39"/>
      <c r="D94" s="39"/>
      <c r="E94" s="39"/>
      <c r="F94" s="39"/>
      <c r="G94" s="39"/>
      <c r="H94" s="39"/>
      <c r="I94" s="39"/>
      <c r="L94" s="11"/>
      <c r="M94" s="11"/>
      <c r="N94" s="11"/>
      <c r="O94" s="11"/>
      <c r="P94" s="11"/>
      <c r="Q94" s="11"/>
      <c r="R94" s="11"/>
      <c r="S94" s="11"/>
      <c r="T94" s="39"/>
      <c r="U94" s="39"/>
      <c r="V94" s="39"/>
      <c r="W94" s="39"/>
      <c r="X94" s="11"/>
      <c r="Y94" s="11"/>
      <c r="Z94" s="11"/>
      <c r="AA94" s="11"/>
      <c r="AB94" s="11"/>
      <c r="AC94" s="11"/>
    </row>
    <row r="95" spans="1:31" x14ac:dyDescent="0.2">
      <c r="B95" s="11"/>
      <c r="C95" s="39"/>
      <c r="D95" s="39"/>
      <c r="E95" s="39"/>
      <c r="F95" s="39"/>
      <c r="G95" s="39"/>
      <c r="H95" s="39"/>
      <c r="I95" s="39"/>
      <c r="L95" s="11"/>
      <c r="M95" s="11"/>
      <c r="N95" s="11"/>
      <c r="O95" s="11"/>
      <c r="P95" s="11"/>
      <c r="Q95" s="11"/>
      <c r="R95" s="11"/>
      <c r="S95" s="11"/>
      <c r="T95" s="39"/>
      <c r="U95" s="39"/>
      <c r="V95" s="39"/>
      <c r="W95" s="39"/>
      <c r="X95" s="11"/>
      <c r="Y95" s="11"/>
      <c r="Z95" s="11"/>
      <c r="AA95" s="11"/>
      <c r="AB95" s="11"/>
      <c r="AC95" s="11"/>
    </row>
    <row r="97" spans="2:30" x14ac:dyDescent="0.2">
      <c r="B97" s="6"/>
      <c r="C97" s="6"/>
      <c r="D97" s="6"/>
      <c r="E97" s="6"/>
      <c r="F97" s="6"/>
      <c r="G97" s="6"/>
      <c r="H97" s="6"/>
      <c r="I97" s="6"/>
      <c r="L97" s="7"/>
      <c r="M97" s="7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2:30" x14ac:dyDescent="0.2">
      <c r="B98" s="2"/>
      <c r="L98" s="2"/>
      <c r="M98" s="2"/>
      <c r="N98" s="2"/>
      <c r="O98" s="2"/>
      <c r="P98" s="2"/>
      <c r="Q98" s="2"/>
      <c r="R98" s="2"/>
      <c r="S98" s="2"/>
      <c r="X98" s="2"/>
      <c r="Y98" s="2"/>
      <c r="Z98" s="2"/>
      <c r="AA98" s="2"/>
      <c r="AB98" s="2"/>
      <c r="AC98" s="2"/>
    </row>
    <row r="99" spans="2:30" x14ac:dyDescent="0.2">
      <c r="B99" s="8"/>
      <c r="C99" s="8"/>
      <c r="D99" s="8"/>
      <c r="E99" s="8"/>
      <c r="F99" s="8"/>
      <c r="G99" s="8"/>
      <c r="H99" s="8"/>
      <c r="I99" s="8"/>
      <c r="L99" s="1"/>
      <c r="M99" s="1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spans="2:30" x14ac:dyDescent="0.2">
      <c r="B100" s="7"/>
      <c r="C100" s="7"/>
      <c r="D100" s="7"/>
      <c r="E100" s="7"/>
      <c r="F100" s="7"/>
      <c r="G100" s="7"/>
      <c r="H100" s="7"/>
      <c r="I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11"/>
    </row>
  </sheetData>
  <mergeCells count="6">
    <mergeCell ref="X6:AB7"/>
    <mergeCell ref="B1:U1"/>
    <mergeCell ref="E2:H2"/>
    <mergeCell ref="J2:M2"/>
    <mergeCell ref="N2:R2"/>
    <mergeCell ref="X5:AB5"/>
  </mergeCells>
  <phoneticPr fontId="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89"/>
  <sheetViews>
    <sheetView workbookViewId="0">
      <pane ySplit="1335" activePane="bottomLeft"/>
      <selection activeCell="A3" sqref="A3"/>
      <selection pane="bottomLeft" activeCell="A3" sqref="A3"/>
    </sheetView>
  </sheetViews>
  <sheetFormatPr defaultRowHeight="12.75" x14ac:dyDescent="0.2"/>
  <cols>
    <col min="2" max="2" width="14.85546875" customWidth="1"/>
    <col min="3" max="3" width="11.28515625" customWidth="1"/>
    <col min="4" max="5" width="11.42578125" customWidth="1"/>
    <col min="6" max="6" width="10.85546875" customWidth="1"/>
    <col min="7" max="7" width="11" customWidth="1"/>
    <col min="8" max="8" width="12.140625" customWidth="1"/>
    <col min="9" max="9" width="13.140625" customWidth="1"/>
    <col min="10" max="10" width="17.28515625" customWidth="1"/>
    <col min="11" max="11" width="13.28515625" customWidth="1"/>
    <col min="12" max="12" width="16.5703125" customWidth="1"/>
    <col min="14" max="14" width="13.42578125" customWidth="1"/>
    <col min="16" max="16" width="13.5703125" customWidth="1"/>
  </cols>
  <sheetData>
    <row r="1" spans="1:17" ht="15.75" x14ac:dyDescent="0.25">
      <c r="A1" s="13" t="s">
        <v>44</v>
      </c>
    </row>
    <row r="2" spans="1:17" ht="15.75" x14ac:dyDescent="0.25">
      <c r="A2" s="13"/>
    </row>
    <row r="3" spans="1:17" x14ac:dyDescent="0.2">
      <c r="B3" s="20" t="s">
        <v>20</v>
      </c>
      <c r="C3" s="21" t="s">
        <v>4</v>
      </c>
      <c r="D3" s="21" t="s">
        <v>2</v>
      </c>
      <c r="E3" s="21" t="s">
        <v>1</v>
      </c>
      <c r="F3" s="21" t="s">
        <v>21</v>
      </c>
      <c r="G3" s="21" t="s">
        <v>19</v>
      </c>
      <c r="H3" s="21" t="s">
        <v>22</v>
      </c>
    </row>
    <row r="4" spans="1:17" x14ac:dyDescent="0.2">
      <c r="B4" s="2"/>
      <c r="C4" s="2"/>
      <c r="D4" s="2"/>
      <c r="E4" s="2"/>
      <c r="F4" s="2"/>
      <c r="G4" s="2"/>
      <c r="H4" s="2"/>
    </row>
    <row r="5" spans="1:17" x14ac:dyDescent="0.2">
      <c r="A5" s="4">
        <v>30</v>
      </c>
      <c r="B5" s="6">
        <v>7.4</v>
      </c>
      <c r="C5" s="7">
        <v>669</v>
      </c>
      <c r="D5" s="6">
        <v>13.56</v>
      </c>
      <c r="E5" s="7">
        <v>195</v>
      </c>
      <c r="F5" s="6">
        <v>8.89</v>
      </c>
      <c r="G5" s="7">
        <v>470</v>
      </c>
      <c r="H5" s="6">
        <f>3*60+11.19</f>
        <v>191.19</v>
      </c>
    </row>
    <row r="6" spans="1:17" x14ac:dyDescent="0.2">
      <c r="A6" s="2"/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</row>
    <row r="7" spans="1:17" x14ac:dyDescent="0.2">
      <c r="A7" s="2"/>
      <c r="B7" s="8">
        <f>+ROUNDUP((B5*B6),2)</f>
        <v>7.4</v>
      </c>
      <c r="C7" s="1">
        <f>+TRUNC((C5*C6),0)</f>
        <v>669</v>
      </c>
      <c r="D7" s="8">
        <f>+TRUNC((D5*D6),2)</f>
        <v>13.56</v>
      </c>
      <c r="E7" s="1">
        <f>+TRUNC((E5*E6),0)</f>
        <v>195</v>
      </c>
      <c r="F7" s="16">
        <f>+ROUNDUP((F5*F6),2)</f>
        <v>8.89</v>
      </c>
      <c r="G7" s="1">
        <f>+TRUNC((G5*G6),0)</f>
        <v>470</v>
      </c>
      <c r="H7" s="8">
        <f>+ROUNDUP((H5*H6),2)</f>
        <v>191.19</v>
      </c>
    </row>
    <row r="8" spans="1:17" x14ac:dyDescent="0.2">
      <c r="A8" s="1"/>
      <c r="B8" s="7">
        <f>TRUNC(58.015*(11.5-B7)^1.81)</f>
        <v>745</v>
      </c>
      <c r="C8" s="7">
        <f>TRUNC(0.14354*(C7-220)^1.4)</f>
        <v>741</v>
      </c>
      <c r="D8" s="7">
        <f>TRUNC(51.39*(D7-1.5)^1.05)</f>
        <v>701</v>
      </c>
      <c r="E8" s="7">
        <f>TRUNC(0.8465*(E7-75)^1.42)</f>
        <v>758</v>
      </c>
      <c r="F8" s="17">
        <f>TRUNC(20.5173*(15.5-F7)^1.92)</f>
        <v>770</v>
      </c>
      <c r="G8" s="7">
        <f>TRUNC(0.2797*(G7-100)^1.35)</f>
        <v>819</v>
      </c>
      <c r="H8" s="7">
        <f>TRUNC(0.08713*(305.5-H7)^1.85)</f>
        <v>559</v>
      </c>
      <c r="I8" s="11">
        <f>SUM(B8:H8)</f>
        <v>5093</v>
      </c>
    </row>
    <row r="9" spans="1:17" x14ac:dyDescent="0.2">
      <c r="B9" s="2"/>
      <c r="C9" s="2"/>
      <c r="D9" s="2"/>
      <c r="E9" s="2"/>
      <c r="F9" s="2"/>
      <c r="G9" s="2"/>
      <c r="H9" s="2"/>
    </row>
    <row r="10" spans="1:17" x14ac:dyDescent="0.2">
      <c r="A10" s="4">
        <v>35</v>
      </c>
      <c r="B10" s="6">
        <v>7.4</v>
      </c>
      <c r="C10" s="7">
        <v>669</v>
      </c>
      <c r="D10" s="6">
        <v>13.56</v>
      </c>
      <c r="E10" s="7">
        <v>195</v>
      </c>
      <c r="F10" s="6">
        <v>8.89</v>
      </c>
      <c r="G10" s="7">
        <v>470</v>
      </c>
      <c r="H10" s="6">
        <f>3*60+11.19</f>
        <v>191.19</v>
      </c>
      <c r="K10" s="6"/>
      <c r="L10" s="7"/>
      <c r="M10" s="6"/>
      <c r="N10" s="7"/>
      <c r="O10" s="6"/>
      <c r="P10" s="7"/>
      <c r="Q10" s="6"/>
    </row>
    <row r="11" spans="1:17" x14ac:dyDescent="0.2">
      <c r="A11" s="2"/>
      <c r="B11" s="2">
        <v>0.9859</v>
      </c>
      <c r="C11" s="2">
        <v>1.0317000000000001</v>
      </c>
      <c r="D11" s="2">
        <v>1.0371999999999999</v>
      </c>
      <c r="E11" s="2">
        <v>1.026</v>
      </c>
      <c r="F11" s="2">
        <v>0.98380000000000001</v>
      </c>
      <c r="G11" s="2">
        <v>1.0167999999999999</v>
      </c>
      <c r="H11" s="2">
        <v>0.99280000000000002</v>
      </c>
    </row>
    <row r="12" spans="1:17" x14ac:dyDescent="0.2">
      <c r="A12" s="2"/>
      <c r="B12" s="8">
        <f>+ROUNDUP((B10*B11),2)</f>
        <v>7.3</v>
      </c>
      <c r="C12" s="1">
        <f>+TRUNC((C10*C11),0)</f>
        <v>690</v>
      </c>
      <c r="D12" s="8">
        <f>+TRUNC((D10*D11),2)</f>
        <v>14.06</v>
      </c>
      <c r="E12" s="1">
        <f>+TRUNC((E10*E11),0)</f>
        <v>200</v>
      </c>
      <c r="F12" s="16">
        <f>+ROUNDUP((F10*F11),2)</f>
        <v>8.75</v>
      </c>
      <c r="G12" s="1">
        <f>+TRUNC((G10*G11),0)</f>
        <v>477</v>
      </c>
      <c r="H12" s="8">
        <f>+ROUNDUP((H10*H11),2)</f>
        <v>189.82</v>
      </c>
    </row>
    <row r="13" spans="1:17" x14ac:dyDescent="0.2">
      <c r="A13" s="1"/>
      <c r="B13" s="7">
        <f>TRUNC(58.015*(11.5-B12)^1.81)</f>
        <v>779</v>
      </c>
      <c r="C13" s="7">
        <f>TRUNC(0.14354*(C12-220)^1.4)</f>
        <v>790</v>
      </c>
      <c r="D13" s="7">
        <f>TRUNC(51.39*(D12-1.5)^1.05)</f>
        <v>732</v>
      </c>
      <c r="E13" s="7">
        <f>TRUNC(0.8465*(E12-75)^1.42)</f>
        <v>803</v>
      </c>
      <c r="F13" s="17">
        <f>TRUNC(20.5173*(15.5-F12)^1.92)</f>
        <v>802</v>
      </c>
      <c r="G13" s="7">
        <f>TRUNC(0.2797*(G12-100)^1.35)</f>
        <v>840</v>
      </c>
      <c r="H13" s="7">
        <f>TRUNC(0.08713*(305.5-H12)^1.85)</f>
        <v>571</v>
      </c>
      <c r="I13" s="11">
        <f>SUM(B13:H13)</f>
        <v>5317</v>
      </c>
      <c r="J13" s="30" t="s">
        <v>40</v>
      </c>
    </row>
    <row r="14" spans="1:17" x14ac:dyDescent="0.2">
      <c r="B14" s="4"/>
      <c r="C14" s="4"/>
      <c r="D14" s="4"/>
      <c r="E14" s="4"/>
      <c r="F14" s="18"/>
      <c r="G14" s="4"/>
      <c r="H14" s="4"/>
    </row>
    <row r="15" spans="1:17" x14ac:dyDescent="0.2">
      <c r="A15" s="4">
        <v>40</v>
      </c>
      <c r="B15" s="6">
        <v>7.91</v>
      </c>
      <c r="C15" s="7">
        <v>546</v>
      </c>
      <c r="D15" s="6">
        <v>9.98</v>
      </c>
      <c r="E15" s="7">
        <v>168</v>
      </c>
      <c r="F15" s="19">
        <v>9.99</v>
      </c>
      <c r="G15" s="7">
        <v>310</v>
      </c>
      <c r="H15" s="6">
        <v>190.11</v>
      </c>
    </row>
    <row r="16" spans="1:17" x14ac:dyDescent="0.2">
      <c r="A16" s="2"/>
      <c r="B16" s="2">
        <v>0.95679999999999998</v>
      </c>
      <c r="C16" s="2">
        <v>1.0899000000000001</v>
      </c>
      <c r="D16" s="2">
        <v>1.1136999999999999</v>
      </c>
      <c r="E16" s="2">
        <v>1.0486</v>
      </c>
      <c r="F16" s="2">
        <v>0.9466</v>
      </c>
      <c r="G16" s="2">
        <v>1.0772999999999999</v>
      </c>
      <c r="H16" s="2">
        <v>0.95369999999999999</v>
      </c>
    </row>
    <row r="17" spans="1:17" x14ac:dyDescent="0.2">
      <c r="A17" s="2"/>
      <c r="B17" s="8">
        <f>+ROUNDUP((B15*B16),2)</f>
        <v>7.5699999999999994</v>
      </c>
      <c r="C17" s="1">
        <f>+TRUNC((C15*C16),0)</f>
        <v>595</v>
      </c>
      <c r="D17" s="8">
        <f>+TRUNC((D15*D16),2)</f>
        <v>11.11</v>
      </c>
      <c r="E17" s="1">
        <f>+TRUNC((E15*E16),0)</f>
        <v>176</v>
      </c>
      <c r="F17" s="16">
        <f>+ROUNDUP((F15*F16),2)</f>
        <v>9.4599999999999991</v>
      </c>
      <c r="G17" s="1">
        <f>+TRUNC((G15*G16),0)</f>
        <v>333</v>
      </c>
      <c r="H17" s="8">
        <f>+ROUNDUP((H15*H16),2)</f>
        <v>181.31</v>
      </c>
    </row>
    <row r="18" spans="1:17" x14ac:dyDescent="0.2">
      <c r="A18" s="7"/>
      <c r="B18" s="7">
        <f>TRUNC(58.015*(11.5-B17)^1.81)</f>
        <v>690</v>
      </c>
      <c r="C18" s="7">
        <f>TRUNC(0.14354*(C17-220)^1.4)</f>
        <v>576</v>
      </c>
      <c r="D18" s="7">
        <f>TRUNC(51.39*(D17-1.5)^1.05)</f>
        <v>553</v>
      </c>
      <c r="E18" s="7">
        <f>TRUNC(0.8465*(E17-75)^1.42)</f>
        <v>593</v>
      </c>
      <c r="F18" s="17">
        <f>TRUNC(20.5173*(15.5-F17)^1.92)</f>
        <v>648</v>
      </c>
      <c r="G18" s="7">
        <f>TRUNC(0.2797*(G17-100)^1.35)</f>
        <v>439</v>
      </c>
      <c r="H18" s="7">
        <f>TRUNC(0.08713*(305.5-H17)^1.85)</f>
        <v>651</v>
      </c>
      <c r="I18" s="11">
        <f>SUM(B18:H18)</f>
        <v>4150</v>
      </c>
      <c r="J18" s="22" t="s">
        <v>26</v>
      </c>
    </row>
    <row r="19" spans="1:17" x14ac:dyDescent="0.2">
      <c r="A19" s="5"/>
      <c r="B19" s="4"/>
      <c r="C19" s="4"/>
      <c r="D19" s="4"/>
      <c r="E19" s="4"/>
      <c r="F19" s="18"/>
      <c r="G19" s="4"/>
      <c r="H19" s="4"/>
    </row>
    <row r="20" spans="1:17" x14ac:dyDescent="0.2">
      <c r="A20" s="4">
        <v>45</v>
      </c>
      <c r="B20" s="6">
        <v>8.1199999999999992</v>
      </c>
      <c r="C20" s="7">
        <v>526</v>
      </c>
      <c r="D20" s="6">
        <v>10.130000000000001</v>
      </c>
      <c r="E20" s="7">
        <v>157</v>
      </c>
      <c r="F20" s="19">
        <v>9.9700000000000006</v>
      </c>
      <c r="G20" s="7">
        <v>290</v>
      </c>
      <c r="H20" s="6">
        <f>3*60+20.42</f>
        <v>200.42000000000002</v>
      </c>
      <c r="K20" s="6"/>
      <c r="L20" s="7"/>
      <c r="M20" s="6"/>
      <c r="N20" s="7"/>
      <c r="O20" s="19"/>
      <c r="P20" s="7"/>
      <c r="Q20" s="6"/>
    </row>
    <row r="21" spans="1:17" x14ac:dyDescent="0.2">
      <c r="A21" s="2"/>
      <c r="B21" s="2">
        <v>0.92769999999999997</v>
      </c>
      <c r="C21" s="2">
        <v>1.1551</v>
      </c>
      <c r="D21" s="2">
        <v>1.2022999999999999</v>
      </c>
      <c r="E21" s="2">
        <v>1.1022000000000001</v>
      </c>
      <c r="F21" s="2">
        <v>0.90939999999999999</v>
      </c>
      <c r="G21" s="2">
        <v>1.1480999999999999</v>
      </c>
      <c r="H21" s="2">
        <v>0.91459999999999997</v>
      </c>
    </row>
    <row r="22" spans="1:17" x14ac:dyDescent="0.2">
      <c r="A22" s="2"/>
      <c r="B22" s="8">
        <f>+ROUNDUP((B20*B21),2)</f>
        <v>7.54</v>
      </c>
      <c r="C22" s="1">
        <f>+TRUNC((C20*C21),0)</f>
        <v>607</v>
      </c>
      <c r="D22" s="8">
        <f>+TRUNC((D20*D21),2)</f>
        <v>12.17</v>
      </c>
      <c r="E22" s="1">
        <f>+TRUNC((E20*E21),0)</f>
        <v>173</v>
      </c>
      <c r="F22" s="8">
        <f>+ROUNDUP((F20*F21),2)</f>
        <v>9.07</v>
      </c>
      <c r="G22" s="1">
        <f>+TRUNC((G20*G21),0)</f>
        <v>332</v>
      </c>
      <c r="H22" s="8">
        <f>+ROUNDUP((H20*H21),2)</f>
        <v>183.31</v>
      </c>
    </row>
    <row r="23" spans="1:17" x14ac:dyDescent="0.2">
      <c r="A23" s="1"/>
      <c r="B23" s="7">
        <f>TRUNC(58.015*(11.5-B22)^1.81)</f>
        <v>700</v>
      </c>
      <c r="C23" s="7">
        <f>TRUNC(0.14354*(C22-220)^1.4)</f>
        <v>602</v>
      </c>
      <c r="D23" s="7">
        <f>TRUNC(51.39*(D22-1.5)^1.05)</f>
        <v>617</v>
      </c>
      <c r="E23" s="7">
        <f>TRUNC(0.8465*(E22-75)^1.42)</f>
        <v>569</v>
      </c>
      <c r="F23" s="7">
        <f>TRUNC(20.5173*(15.5-F22)^1.92)</f>
        <v>730</v>
      </c>
      <c r="G23" s="7">
        <f>TRUNC(0.2797*(G22-100)^1.35)</f>
        <v>436</v>
      </c>
      <c r="H23" s="7">
        <f>TRUNC(0.08713*(305.5-H22)^1.85)</f>
        <v>632</v>
      </c>
      <c r="I23" s="11">
        <f>SUM(B23:H23)</f>
        <v>4286</v>
      </c>
      <c r="J23" s="30" t="s">
        <v>43</v>
      </c>
    </row>
    <row r="24" spans="1:17" x14ac:dyDescent="0.2">
      <c r="B24" s="2"/>
      <c r="C24" s="2"/>
      <c r="D24" s="2"/>
      <c r="E24" s="2"/>
      <c r="F24" s="12"/>
      <c r="G24" s="2"/>
      <c r="H24" s="2"/>
    </row>
    <row r="25" spans="1:17" x14ac:dyDescent="0.2">
      <c r="A25" s="4">
        <v>50</v>
      </c>
      <c r="B25" s="6">
        <v>8.9600000000000009</v>
      </c>
      <c r="C25" s="7">
        <v>421</v>
      </c>
      <c r="D25" s="6">
        <v>12.09</v>
      </c>
      <c r="E25" s="7">
        <v>142</v>
      </c>
      <c r="F25" s="6">
        <v>11.46</v>
      </c>
      <c r="G25" s="7">
        <v>306</v>
      </c>
      <c r="H25" s="6">
        <v>215.51</v>
      </c>
    </row>
    <row r="26" spans="1:17" x14ac:dyDescent="0.2">
      <c r="A26" s="2"/>
      <c r="B26" s="2">
        <v>0.89859999999999995</v>
      </c>
      <c r="C26" s="2">
        <v>1.2285999999999999</v>
      </c>
      <c r="D26" s="2">
        <v>1.1720999999999999</v>
      </c>
      <c r="E26" s="2">
        <v>1.1617</v>
      </c>
      <c r="F26" s="2">
        <v>0.89219999999999999</v>
      </c>
      <c r="G26" s="2">
        <v>1.2272000000000001</v>
      </c>
      <c r="H26" s="2">
        <v>0.87549999999999994</v>
      </c>
    </row>
    <row r="27" spans="1:17" x14ac:dyDescent="0.2">
      <c r="A27" s="2"/>
      <c r="B27" s="8">
        <f>+ROUNDUP((B25*B26),2)</f>
        <v>8.06</v>
      </c>
      <c r="C27" s="1">
        <f>+TRUNC((C25*C26),0)</f>
        <v>517</v>
      </c>
      <c r="D27" s="8">
        <f>+TRUNC((D25*D26),2)</f>
        <v>14.17</v>
      </c>
      <c r="E27" s="1">
        <f>+TRUNC((E25*E26),0)</f>
        <v>164</v>
      </c>
      <c r="F27" s="8">
        <f>+ROUNDUP((F25*F26),2)</f>
        <v>10.23</v>
      </c>
      <c r="G27" s="1">
        <f>+TRUNC((G25*G26),0)</f>
        <v>375</v>
      </c>
      <c r="H27" s="8">
        <f>+ROUNDUP((H25*H26),2)</f>
        <v>188.67999999999998</v>
      </c>
    </row>
    <row r="28" spans="1:17" x14ac:dyDescent="0.2">
      <c r="A28" s="1"/>
      <c r="B28" s="7">
        <f>TRUNC(58.015*(11.5-B27)^1.81)</f>
        <v>542</v>
      </c>
      <c r="C28" s="7">
        <f>TRUNC(0.14354*(C27-220)^1.4)</f>
        <v>415</v>
      </c>
      <c r="D28" s="7">
        <f>TRUNC(51.39*(D27-1.5)^1.05)</f>
        <v>739</v>
      </c>
      <c r="E28" s="7">
        <f>TRUNC(0.8465*(E27-75)^1.42)</f>
        <v>496</v>
      </c>
      <c r="F28" s="7">
        <f>TRUNC(20.5173*(15.5-F27)^1.92)</f>
        <v>498</v>
      </c>
      <c r="G28" s="7">
        <f>TRUNC(0.2797*(G27-100)^1.35)</f>
        <v>549</v>
      </c>
      <c r="H28" s="7">
        <f>TRUNC(0.08713*(305.5-H27)^1.85)</f>
        <v>582</v>
      </c>
      <c r="I28" s="11">
        <f>SUM(B28:H28)</f>
        <v>3821</v>
      </c>
      <c r="J28" t="s">
        <v>27</v>
      </c>
    </row>
    <row r="29" spans="1:17" x14ac:dyDescent="0.2">
      <c r="B29" s="2"/>
      <c r="C29" s="2"/>
      <c r="D29" s="2"/>
      <c r="E29" s="2"/>
      <c r="F29" s="12"/>
      <c r="G29" s="2"/>
      <c r="H29" s="2"/>
    </row>
    <row r="30" spans="1:17" x14ac:dyDescent="0.2">
      <c r="A30" s="4">
        <v>55</v>
      </c>
      <c r="B30" s="6">
        <v>8.66</v>
      </c>
      <c r="C30" s="7">
        <v>414</v>
      </c>
      <c r="D30" s="6">
        <v>11.7</v>
      </c>
      <c r="E30" s="7">
        <v>139</v>
      </c>
      <c r="F30" s="6">
        <v>11.52</v>
      </c>
      <c r="G30" s="7">
        <v>300</v>
      </c>
      <c r="H30" s="6">
        <f>3*60+45.23</f>
        <v>225.23</v>
      </c>
      <c r="K30" s="6"/>
      <c r="L30" s="7"/>
      <c r="M30" s="6"/>
      <c r="N30" s="7"/>
      <c r="O30" s="6"/>
      <c r="P30" s="7"/>
      <c r="Q30" s="6"/>
    </row>
    <row r="31" spans="1:17" x14ac:dyDescent="0.2">
      <c r="A31" s="2"/>
      <c r="B31" s="2">
        <v>0.86950000000000005</v>
      </c>
      <c r="C31" s="2">
        <v>1.3121</v>
      </c>
      <c r="D31" s="2">
        <v>1.2706</v>
      </c>
      <c r="E31" s="2">
        <v>1.228</v>
      </c>
      <c r="F31" s="2">
        <v>0.85499999999999998</v>
      </c>
      <c r="G31" s="2">
        <v>1.3182</v>
      </c>
      <c r="H31" s="2">
        <v>0.83640000000000003</v>
      </c>
    </row>
    <row r="32" spans="1:17" x14ac:dyDescent="0.2">
      <c r="A32" s="2"/>
      <c r="B32" s="8">
        <f>+ROUNDUP((B30*B31),2)</f>
        <v>7.5299999999999994</v>
      </c>
      <c r="C32" s="1">
        <f>+TRUNC((C30*C31),0)</f>
        <v>543</v>
      </c>
      <c r="D32" s="8">
        <f>+TRUNC((D30*D31),2)</f>
        <v>14.86</v>
      </c>
      <c r="E32" s="1">
        <f>+TRUNC((E30*E31),0)</f>
        <v>170</v>
      </c>
      <c r="F32" s="8">
        <f>+ROUNDUP((F30*F31),2)</f>
        <v>9.85</v>
      </c>
      <c r="G32" s="1">
        <f>+TRUNC((G30*G31),0)</f>
        <v>395</v>
      </c>
      <c r="H32" s="8">
        <f>+ROUNDUP((H30*H31),2)</f>
        <v>188.39</v>
      </c>
    </row>
    <row r="33" spans="1:16" x14ac:dyDescent="0.2">
      <c r="A33" s="1"/>
      <c r="B33" s="7">
        <f>TRUNC(58.015*(11.5-B32)^1.81)</f>
        <v>703</v>
      </c>
      <c r="C33" s="7">
        <f>TRUNC(0.14354*(C32-220)^1.4)</f>
        <v>467</v>
      </c>
      <c r="D33" s="7">
        <f>TRUNC(51.39*(D32-1.5)^1.05)</f>
        <v>781</v>
      </c>
      <c r="E33" s="7">
        <f>TRUNC(0.8465*(E32-75)^1.42)</f>
        <v>544</v>
      </c>
      <c r="F33" s="7">
        <f>TRUNC(20.5173*(15.5-F32)^1.92)</f>
        <v>570</v>
      </c>
      <c r="G33" s="7">
        <f>TRUNC(0.2797*(G32-100)^1.35)</f>
        <v>603</v>
      </c>
      <c r="H33" s="7">
        <f>TRUNC(0.08713*(305.5-H32)^1.85)</f>
        <v>584</v>
      </c>
      <c r="I33" s="11">
        <f>SUM(B33:H33)</f>
        <v>4252</v>
      </c>
      <c r="J33" t="s">
        <v>27</v>
      </c>
    </row>
    <row r="34" spans="1:16" x14ac:dyDescent="0.2">
      <c r="A34" t="s">
        <v>0</v>
      </c>
      <c r="B34" s="2"/>
      <c r="C34" s="2"/>
      <c r="D34" s="2"/>
      <c r="E34" s="2"/>
      <c r="F34" s="12"/>
      <c r="G34" s="2"/>
      <c r="H34" s="2"/>
    </row>
    <row r="35" spans="1:16" x14ac:dyDescent="0.2">
      <c r="A35" s="4">
        <v>60</v>
      </c>
      <c r="B35" s="6">
        <v>9.16</v>
      </c>
      <c r="C35" s="7">
        <v>443</v>
      </c>
      <c r="D35" s="6">
        <v>9.61</v>
      </c>
      <c r="E35" s="7">
        <v>130</v>
      </c>
      <c r="F35" s="6">
        <v>10.48</v>
      </c>
      <c r="G35" s="7">
        <v>256</v>
      </c>
      <c r="H35" s="6">
        <v>213.85</v>
      </c>
    </row>
    <row r="36" spans="1:16" x14ac:dyDescent="0.2">
      <c r="A36" s="2"/>
      <c r="B36" s="2">
        <v>0.84040000000000004</v>
      </c>
      <c r="C36" s="2">
        <v>1.4077999999999999</v>
      </c>
      <c r="D36" s="2">
        <v>1.2482</v>
      </c>
      <c r="E36" s="2">
        <v>1.3025</v>
      </c>
      <c r="F36" s="2">
        <v>0.83120000000000005</v>
      </c>
      <c r="G36" s="2">
        <v>1.4236</v>
      </c>
      <c r="H36" s="2">
        <v>0.79679999999999995</v>
      </c>
    </row>
    <row r="37" spans="1:16" x14ac:dyDescent="0.2">
      <c r="A37" s="2"/>
      <c r="B37" s="8">
        <f>+ROUNDUP((B35*B36),2)</f>
        <v>7.7</v>
      </c>
      <c r="C37" s="1">
        <f>+TRUNC((C35*C36),0)</f>
        <v>623</v>
      </c>
      <c r="D37" s="8">
        <f>+TRUNC((D35*D36),2)</f>
        <v>11.99</v>
      </c>
      <c r="E37" s="1">
        <f>+TRUNC((E35*E36),0)</f>
        <v>169</v>
      </c>
      <c r="F37" s="8">
        <f>+ROUNDUP((F35*F36),2)</f>
        <v>8.7200000000000006</v>
      </c>
      <c r="G37" s="1">
        <f>+TRUNC((G35*G36),0)</f>
        <v>364</v>
      </c>
      <c r="H37" s="8">
        <f>+ROUNDUP((H35*H36),2)</f>
        <v>170.39999999999998</v>
      </c>
    </row>
    <row r="38" spans="1:16" x14ac:dyDescent="0.2">
      <c r="A38" s="1"/>
      <c r="B38" s="7">
        <f>TRUNC(58.015*(11.5-B37)^1.81)</f>
        <v>650</v>
      </c>
      <c r="C38" s="7">
        <f>TRUNC(0.14354*(C37-220)^1.4)</f>
        <v>637</v>
      </c>
      <c r="D38" s="7">
        <f>TRUNC(51.39*(D37-1.5)^1.05)</f>
        <v>606</v>
      </c>
      <c r="E38" s="7">
        <f>TRUNC(0.8465*(E37-75)^1.42)</f>
        <v>536</v>
      </c>
      <c r="F38" s="7">
        <f>TRUNC(20.5173*(15.5-F37)^1.92)</f>
        <v>809</v>
      </c>
      <c r="G38" s="7">
        <f>TRUNC(0.2797*(G37-100)^1.35)</f>
        <v>519</v>
      </c>
      <c r="H38" s="7">
        <f>TRUNC(0.08713*(305.5-H37)^1.85)</f>
        <v>761</v>
      </c>
      <c r="I38" s="11">
        <f>SUM(B38:H38)</f>
        <v>4518</v>
      </c>
      <c r="J38" t="s">
        <v>28</v>
      </c>
    </row>
    <row r="39" spans="1:16" x14ac:dyDescent="0.2">
      <c r="B39" s="2"/>
      <c r="C39" s="2"/>
      <c r="D39" s="2"/>
      <c r="E39" s="2"/>
      <c r="F39" s="12"/>
      <c r="G39" s="2"/>
      <c r="H39" s="2"/>
    </row>
    <row r="40" spans="1:16" x14ac:dyDescent="0.2">
      <c r="A40" s="4">
        <v>65</v>
      </c>
      <c r="B40" s="6">
        <v>9.94</v>
      </c>
      <c r="C40" s="7">
        <v>393</v>
      </c>
      <c r="D40" s="6">
        <v>10.06</v>
      </c>
      <c r="E40" s="7">
        <v>139</v>
      </c>
      <c r="F40" s="6">
        <v>11.88</v>
      </c>
      <c r="G40" s="7">
        <v>276</v>
      </c>
      <c r="H40" s="6">
        <v>246.22</v>
      </c>
      <c r="J40" s="6"/>
      <c r="K40" s="7"/>
      <c r="L40" s="6"/>
      <c r="M40" s="7"/>
      <c r="N40" s="6"/>
      <c r="O40" s="7"/>
      <c r="P40" s="6"/>
    </row>
    <row r="41" spans="1:16" x14ac:dyDescent="0.2">
      <c r="A41" s="2"/>
      <c r="B41" s="2">
        <v>0.81010000000000004</v>
      </c>
      <c r="C41" s="2">
        <v>1.5185999999999999</v>
      </c>
      <c r="D41" s="2">
        <v>1.3607</v>
      </c>
      <c r="E41" s="2">
        <v>1.3869</v>
      </c>
      <c r="F41" s="2">
        <v>0.79400000000000004</v>
      </c>
      <c r="G41" s="2">
        <v>1.5475000000000001</v>
      </c>
      <c r="H41" s="2">
        <v>0.75609999999999999</v>
      </c>
    </row>
    <row r="42" spans="1:16" x14ac:dyDescent="0.2">
      <c r="A42" s="2"/>
      <c r="B42" s="8">
        <f>+ROUNDUP((B40*B41),2)</f>
        <v>8.06</v>
      </c>
      <c r="C42" s="1">
        <f>+TRUNC((C40*C41),0)</f>
        <v>596</v>
      </c>
      <c r="D42" s="8">
        <f>+TRUNC((D40*D41),2)</f>
        <v>13.68</v>
      </c>
      <c r="E42" s="1">
        <f>+TRUNC((E40*E41),0)</f>
        <v>192</v>
      </c>
      <c r="F42" s="8">
        <f>+ROUNDUP((F40*F41),2)</f>
        <v>9.44</v>
      </c>
      <c r="G42" s="1">
        <f>+TRUNC((G40*G41),0)</f>
        <v>427</v>
      </c>
      <c r="H42" s="8">
        <f>+ROUNDUP((H40*H41),2)</f>
        <v>186.17</v>
      </c>
    </row>
    <row r="43" spans="1:16" x14ac:dyDescent="0.2">
      <c r="A43" s="1"/>
      <c r="B43" s="7">
        <f>TRUNC(58.015*(11.5-B42)^1.81)</f>
        <v>542</v>
      </c>
      <c r="C43" s="7">
        <f>TRUNC(0.14354*(C42-220)^1.4)</f>
        <v>578</v>
      </c>
      <c r="D43" s="7">
        <f>TRUNC(51.39*(D42-1.5)^1.05)</f>
        <v>709</v>
      </c>
      <c r="E43" s="7">
        <f>TRUNC(0.8465*(E42-75)^1.42)</f>
        <v>731</v>
      </c>
      <c r="F43" s="7">
        <f>TRUNC(20.5173*(15.5-F42)^1.92)</f>
        <v>652</v>
      </c>
      <c r="G43" s="7">
        <f>TRUNC(0.2797*(G42-100)^1.35)</f>
        <v>693</v>
      </c>
      <c r="H43" s="7">
        <f>TRUNC(0.08713*(305.5-H42)^1.85)</f>
        <v>605</v>
      </c>
      <c r="I43" s="11">
        <f>SUM(B43:H43)</f>
        <v>4510</v>
      </c>
      <c r="J43" t="s">
        <v>23</v>
      </c>
    </row>
    <row r="44" spans="1:16" x14ac:dyDescent="0.2">
      <c r="C44" s="2"/>
      <c r="D44" s="2"/>
      <c r="E44" s="2"/>
      <c r="F44" s="12"/>
      <c r="G44" s="2"/>
      <c r="H44" s="2"/>
    </row>
    <row r="45" spans="1:16" x14ac:dyDescent="0.2">
      <c r="A45" s="4">
        <v>70</v>
      </c>
      <c r="B45" s="6">
        <v>9.94</v>
      </c>
      <c r="C45" s="7">
        <v>393</v>
      </c>
      <c r="D45" s="6">
        <v>10.06</v>
      </c>
      <c r="E45" s="7">
        <v>139</v>
      </c>
      <c r="F45" s="6">
        <v>11.88</v>
      </c>
      <c r="G45" s="7">
        <v>276</v>
      </c>
      <c r="H45" s="6">
        <v>246.22</v>
      </c>
    </row>
    <row r="46" spans="1:16" x14ac:dyDescent="0.2">
      <c r="A46" s="2"/>
      <c r="B46" s="2">
        <v>0.7772</v>
      </c>
      <c r="C46" s="2">
        <v>1.6482000000000001</v>
      </c>
      <c r="D46" s="34">
        <v>1.2806</v>
      </c>
      <c r="E46" s="2">
        <v>1.4832000000000001</v>
      </c>
      <c r="F46" s="2">
        <v>0.77139999999999997</v>
      </c>
      <c r="G46" s="2">
        <v>1.6949000000000001</v>
      </c>
      <c r="H46" s="2">
        <v>0.71109999999999995</v>
      </c>
    </row>
    <row r="47" spans="1:16" x14ac:dyDescent="0.2">
      <c r="A47" s="2"/>
      <c r="B47" s="8">
        <f>+ROUNDUP((B45*B46),2)</f>
        <v>7.7299999999999995</v>
      </c>
      <c r="C47" s="1">
        <f>+TRUNC((C45*C46),0)</f>
        <v>647</v>
      </c>
      <c r="D47" s="8">
        <f>+TRUNC((D45*D46),2)</f>
        <v>12.88</v>
      </c>
      <c r="E47" s="1">
        <f>+TRUNC((E45*E46),0)</f>
        <v>206</v>
      </c>
      <c r="F47" s="8">
        <f>+ROUNDUP((F45*F46),2)</f>
        <v>9.17</v>
      </c>
      <c r="G47" s="1">
        <f>+TRUNC((G45*G46),0)</f>
        <v>467</v>
      </c>
      <c r="H47" s="8">
        <f>+ROUNDUP((H45*H46),2)</f>
        <v>175.09</v>
      </c>
    </row>
    <row r="48" spans="1:16" x14ac:dyDescent="0.2">
      <c r="A48" s="1"/>
      <c r="B48" s="7">
        <f>TRUNC(58.015*(11.5-B47)^1.81)</f>
        <v>640</v>
      </c>
      <c r="C48" s="7">
        <f>TRUNC(0.14354*(C47-220)^1.4)</f>
        <v>691</v>
      </c>
      <c r="D48" s="7">
        <f>TRUNC(51.39*(D47-1.5)^1.05)</f>
        <v>660</v>
      </c>
      <c r="E48" s="7">
        <f>TRUNC(0.8465*(E47-75)^1.42)</f>
        <v>859</v>
      </c>
      <c r="F48" s="7">
        <f>TRUNC(20.5173*(15.5-F47)^1.92)</f>
        <v>709</v>
      </c>
      <c r="G48" s="7">
        <f>TRUNC(0.2797*(G47-100)^1.35)</f>
        <v>810</v>
      </c>
      <c r="H48" s="7">
        <f>TRUNC(0.08713*(305.5-H47)^1.85)</f>
        <v>713</v>
      </c>
      <c r="I48" s="11">
        <f>SUM(B48:H48)</f>
        <v>5082</v>
      </c>
    </row>
    <row r="49" spans="1:9" x14ac:dyDescent="0.2">
      <c r="C49" s="2"/>
      <c r="D49" s="2"/>
      <c r="E49" s="2"/>
      <c r="F49" s="12"/>
      <c r="G49" s="2"/>
      <c r="H49" s="2"/>
    </row>
    <row r="50" spans="1:9" x14ac:dyDescent="0.2">
      <c r="A50" s="4">
        <v>75</v>
      </c>
      <c r="B50" s="6">
        <v>9.94</v>
      </c>
      <c r="C50" s="7">
        <v>393</v>
      </c>
      <c r="D50" s="6">
        <v>10.06</v>
      </c>
      <c r="E50" s="7">
        <v>139</v>
      </c>
      <c r="F50" s="6">
        <v>11.88</v>
      </c>
      <c r="G50" s="7">
        <v>276</v>
      </c>
      <c r="H50" s="6">
        <v>246.22</v>
      </c>
    </row>
    <row r="51" spans="1:9" x14ac:dyDescent="0.2">
      <c r="A51" s="2"/>
      <c r="B51" s="2">
        <v>0.7399</v>
      </c>
      <c r="C51" s="2">
        <v>1.8021</v>
      </c>
      <c r="D51" s="34">
        <v>1.3993</v>
      </c>
      <c r="E51" s="2">
        <v>1.5943000000000001</v>
      </c>
      <c r="F51" s="2">
        <v>0.73280000000000001</v>
      </c>
      <c r="G51" s="2">
        <v>1.8733</v>
      </c>
      <c r="H51" s="2">
        <v>0.65880000000000005</v>
      </c>
    </row>
    <row r="52" spans="1:9" x14ac:dyDescent="0.2">
      <c r="A52" s="2"/>
      <c r="B52" s="8">
        <f>+ROUNDUP((B50*B51),2)</f>
        <v>7.3599999999999994</v>
      </c>
      <c r="C52" s="1">
        <f>+TRUNC((C50*C51),0)</f>
        <v>708</v>
      </c>
      <c r="D52" s="8">
        <f>+TRUNC((D50*D51),2)</f>
        <v>14.07</v>
      </c>
      <c r="E52" s="1">
        <f>+TRUNC((E50*E51),0)</f>
        <v>221</v>
      </c>
      <c r="F52" s="8">
        <f>+ROUNDUP((F50*F51),2)</f>
        <v>8.7099999999999991</v>
      </c>
      <c r="G52" s="1">
        <f>+TRUNC((G50*G51),0)</f>
        <v>517</v>
      </c>
      <c r="H52" s="8">
        <f>+ROUNDUP((H50*H51),2)</f>
        <v>162.20999999999998</v>
      </c>
    </row>
    <row r="53" spans="1:9" x14ac:dyDescent="0.2">
      <c r="A53" s="1"/>
      <c r="B53" s="7">
        <f>TRUNC(58.015*(11.5-B52)^1.81)</f>
        <v>759</v>
      </c>
      <c r="C53" s="7">
        <f>TRUNC(0.14354*(C52-220)^1.4)</f>
        <v>833</v>
      </c>
      <c r="D53" s="7">
        <f>TRUNC(51.39*(D52-1.5)^1.05)</f>
        <v>733</v>
      </c>
      <c r="E53" s="7">
        <f>TRUNC(0.8465*(E52-75)^1.42)</f>
        <v>1002</v>
      </c>
      <c r="F53" s="7">
        <f>TRUNC(20.5173*(15.5-F52)^1.92)</f>
        <v>811</v>
      </c>
      <c r="G53" s="7">
        <f>TRUNC(0.2797*(G52-100)^1.35)</f>
        <v>963</v>
      </c>
      <c r="H53" s="7">
        <f>TRUNC(0.08713*(305.5-H52)^1.85)</f>
        <v>849</v>
      </c>
      <c r="I53" s="11">
        <f>SUM(B53:H53)</f>
        <v>5950</v>
      </c>
    </row>
    <row r="54" spans="1:9" x14ac:dyDescent="0.2">
      <c r="C54" s="2"/>
      <c r="D54" s="2"/>
      <c r="E54" s="2"/>
      <c r="F54" s="12"/>
      <c r="G54" s="2"/>
      <c r="H54" s="2"/>
    </row>
    <row r="55" spans="1:9" x14ac:dyDescent="0.2">
      <c r="A55" s="4">
        <v>80</v>
      </c>
      <c r="B55" s="6">
        <v>9.94</v>
      </c>
      <c r="C55" s="7">
        <v>393</v>
      </c>
      <c r="D55" s="6">
        <v>10.06</v>
      </c>
      <c r="E55" s="7">
        <v>139</v>
      </c>
      <c r="F55" s="6">
        <v>11.88</v>
      </c>
      <c r="G55" s="7">
        <v>276</v>
      </c>
      <c r="H55" s="6">
        <v>246.22</v>
      </c>
    </row>
    <row r="56" spans="1:9" x14ac:dyDescent="0.2">
      <c r="A56" s="2"/>
      <c r="B56" s="2">
        <v>0.69569999999999999</v>
      </c>
      <c r="C56" s="2">
        <v>1.9876</v>
      </c>
      <c r="D56" s="34">
        <v>1.5053000000000001</v>
      </c>
      <c r="E56" s="2">
        <v>1.7241</v>
      </c>
      <c r="F56" s="2">
        <v>0.68259999999999998</v>
      </c>
      <c r="G56" s="2">
        <v>2.0937999999999999</v>
      </c>
      <c r="H56" s="2">
        <v>0.59519999999999995</v>
      </c>
    </row>
    <row r="57" spans="1:9" x14ac:dyDescent="0.2">
      <c r="A57" s="2"/>
      <c r="B57" s="8">
        <f>+ROUNDUP((B55*B56),2)</f>
        <v>6.92</v>
      </c>
      <c r="C57" s="1">
        <f>+TRUNC((C55*C56),0)</f>
        <v>781</v>
      </c>
      <c r="D57" s="8">
        <f>+TRUNC((D55*D56),2)</f>
        <v>15.14</v>
      </c>
      <c r="E57" s="1">
        <f>+TRUNC((E55*E56),0)</f>
        <v>239</v>
      </c>
      <c r="F57" s="8">
        <f>+ROUNDUP((F55*F56),2)</f>
        <v>8.11</v>
      </c>
      <c r="G57" s="1">
        <f>+TRUNC((G55*G56),0)</f>
        <v>577</v>
      </c>
      <c r="H57" s="8">
        <f>+ROUNDUP((H55*H56),2)</f>
        <v>146.56</v>
      </c>
    </row>
    <row r="58" spans="1:9" x14ac:dyDescent="0.2">
      <c r="A58" s="1"/>
      <c r="B58" s="7">
        <f>TRUNC(58.015*(11.5-B57)^1.81)</f>
        <v>911</v>
      </c>
      <c r="C58" s="7">
        <f>TRUNC(0.14354*(C57-220)^1.4)</f>
        <v>1012</v>
      </c>
      <c r="D58" s="7">
        <f>TRUNC(51.39*(D57-1.5)^1.05)</f>
        <v>798</v>
      </c>
      <c r="E58" s="7">
        <f>TRUNC(0.8465*(E57-75)^1.42)</f>
        <v>1182</v>
      </c>
      <c r="F58" s="7">
        <f>TRUNC(20.5173*(15.5-F57)^1.92)</f>
        <v>954</v>
      </c>
      <c r="G58" s="7">
        <f>TRUNC(0.2797*(G57-100)^1.35)</f>
        <v>1155</v>
      </c>
      <c r="H58" s="7">
        <f>TRUNC(0.08713*(305.5-H57)^1.85)</f>
        <v>1029</v>
      </c>
      <c r="I58" s="11">
        <f>SUM(B58:H58)</f>
        <v>7041</v>
      </c>
    </row>
    <row r="59" spans="1:9" x14ac:dyDescent="0.2">
      <c r="C59" s="2"/>
      <c r="D59" s="2"/>
      <c r="E59" s="2"/>
      <c r="F59" s="12"/>
      <c r="G59" s="2"/>
      <c r="H59" s="2"/>
    </row>
    <row r="60" spans="1:9" x14ac:dyDescent="0.2">
      <c r="A60" s="4">
        <v>85</v>
      </c>
      <c r="B60" s="6">
        <v>9.94</v>
      </c>
      <c r="C60" s="7">
        <v>393</v>
      </c>
      <c r="D60" s="6">
        <v>10.06</v>
      </c>
      <c r="E60" s="7">
        <v>139</v>
      </c>
      <c r="F60" s="6">
        <v>11.88</v>
      </c>
      <c r="G60" s="7">
        <v>276</v>
      </c>
      <c r="H60" s="6">
        <v>246.22</v>
      </c>
    </row>
    <row r="61" spans="1:9" x14ac:dyDescent="0.2">
      <c r="A61" s="2"/>
      <c r="B61" s="2">
        <v>0.64129999999999998</v>
      </c>
      <c r="C61" s="2">
        <v>2.2158000000000002</v>
      </c>
      <c r="D61" s="34">
        <v>1.6866000000000001</v>
      </c>
      <c r="E61" s="2">
        <v>1.8778999999999999</v>
      </c>
      <c r="F61" s="2">
        <v>0.61780000000000002</v>
      </c>
      <c r="G61" s="2">
        <v>2.3730000000000002</v>
      </c>
      <c r="H61" s="2">
        <v>0.51529999999999998</v>
      </c>
    </row>
    <row r="62" spans="1:9" x14ac:dyDescent="0.2">
      <c r="A62" s="2"/>
      <c r="B62" s="8">
        <f>+ROUNDUP((B60*B61),2)</f>
        <v>6.38</v>
      </c>
      <c r="C62" s="1">
        <f>+TRUNC((C60*C61),0)</f>
        <v>870</v>
      </c>
      <c r="D62" s="16">
        <f>+TRUNC((D60*D61),2)</f>
        <v>16.96</v>
      </c>
      <c r="E62" s="1">
        <f>+TRUNC((E60*E61),0)</f>
        <v>261</v>
      </c>
      <c r="F62" s="8">
        <f>+ROUNDUP((F60*F61),2)</f>
        <v>7.34</v>
      </c>
      <c r="G62" s="1">
        <f>+TRUNC((G60*G61),0)</f>
        <v>654</v>
      </c>
      <c r="H62" s="8">
        <f>+ROUNDUP((H60*H61),2)</f>
        <v>126.88000000000001</v>
      </c>
    </row>
    <row r="63" spans="1:9" x14ac:dyDescent="0.2">
      <c r="A63" s="1"/>
      <c r="B63" s="7">
        <f>TRUNC(58.015*(11.5-B62)^1.81)</f>
        <v>1115</v>
      </c>
      <c r="C63" s="7">
        <f>TRUNC(0.14354*(C62-220)^1.4)</f>
        <v>1244</v>
      </c>
      <c r="D63" s="17">
        <f>TRUNC(51.39*(D62-1.5)^1.05)</f>
        <v>911</v>
      </c>
      <c r="E63" s="7">
        <f>TRUNC(0.8465*(E62-75)^1.42)</f>
        <v>1413</v>
      </c>
      <c r="F63" s="7">
        <f>TRUNC(20.5173*(15.5-F62)^1.92)</f>
        <v>1154</v>
      </c>
      <c r="G63" s="7">
        <f>TRUNC(0.2797*(G62-100)^1.35)</f>
        <v>1413</v>
      </c>
      <c r="H63" s="7">
        <f>TRUNC(0.08713*(305.5-H62)^1.85)</f>
        <v>1277</v>
      </c>
      <c r="I63" s="11">
        <f>SUM(B63:H63)</f>
        <v>8527</v>
      </c>
    </row>
    <row r="64" spans="1:9" x14ac:dyDescent="0.2">
      <c r="C64" s="2"/>
      <c r="D64" s="2"/>
      <c r="E64" s="2"/>
      <c r="F64" s="12"/>
      <c r="G64" s="2"/>
      <c r="H64" s="2"/>
    </row>
    <row r="65" spans="1:9" x14ac:dyDescent="0.2">
      <c r="A65" s="4">
        <v>90</v>
      </c>
      <c r="B65" s="6">
        <v>9.94</v>
      </c>
      <c r="C65" s="7">
        <v>393</v>
      </c>
      <c r="D65" s="6">
        <v>10.06</v>
      </c>
      <c r="E65" s="7">
        <v>139</v>
      </c>
      <c r="F65" s="6">
        <v>11.88</v>
      </c>
      <c r="G65" s="7">
        <v>276</v>
      </c>
      <c r="H65" s="6">
        <v>246.22</v>
      </c>
    </row>
    <row r="66" spans="1:9" x14ac:dyDescent="0.2">
      <c r="A66" s="2"/>
      <c r="B66" s="2">
        <v>0.57250000000000001</v>
      </c>
      <c r="C66" s="2">
        <v>2.5030999999999999</v>
      </c>
      <c r="D66" s="34">
        <v>1.9535</v>
      </c>
      <c r="E66" s="2">
        <v>2.0634999999999999</v>
      </c>
      <c r="F66" s="2">
        <v>0.50009999999999999</v>
      </c>
      <c r="G66" s="2">
        <v>2.7382</v>
      </c>
      <c r="H66" s="2">
        <v>0.41270000000000001</v>
      </c>
    </row>
    <row r="67" spans="1:9" x14ac:dyDescent="0.2">
      <c r="A67" s="2"/>
      <c r="B67" s="8">
        <f>+ROUNDUP((B65*B66),2)</f>
        <v>5.7</v>
      </c>
      <c r="C67" s="1">
        <f>+TRUNC((C65*C66),0)</f>
        <v>983</v>
      </c>
      <c r="D67" s="16">
        <f>+TRUNC((D65*D66),2)</f>
        <v>19.649999999999999</v>
      </c>
      <c r="E67" s="1">
        <f>+TRUNC((E65*E66),0)</f>
        <v>286</v>
      </c>
      <c r="F67" s="8">
        <f>+ROUNDUP((F65*F66),2)</f>
        <v>5.95</v>
      </c>
      <c r="G67" s="1">
        <f>+TRUNC((G65*G66),0)</f>
        <v>755</v>
      </c>
      <c r="H67" s="8">
        <f>+ROUNDUP((H65*H66),2)</f>
        <v>101.62</v>
      </c>
    </row>
    <row r="68" spans="1:9" x14ac:dyDescent="0.2">
      <c r="A68" s="1"/>
      <c r="B68" s="7">
        <f>TRUNC(58.015*(11.5-B67)^1.81)</f>
        <v>1397</v>
      </c>
      <c r="C68" s="7">
        <f>TRUNC(0.14354*(C67-220)^1.4)</f>
        <v>1557</v>
      </c>
      <c r="D68" s="17">
        <f>TRUNC(51.39*(D67-1.5)^1.05)</f>
        <v>1078</v>
      </c>
      <c r="E68" s="7">
        <f>TRUNC(0.8465*(E67-75)^1.42)</f>
        <v>1690</v>
      </c>
      <c r="F68" s="7">
        <f>TRUNC(20.5173*(15.5-F67)^1.92)</f>
        <v>1562</v>
      </c>
      <c r="G68" s="7">
        <f>TRUNC(0.2797*(G67-100)^1.35)</f>
        <v>1772</v>
      </c>
      <c r="H68" s="7">
        <f>TRUNC(0.08713*(305.5-H67)^1.85)</f>
        <v>1631</v>
      </c>
      <c r="I68" s="11">
        <f>SUM(B68:H68)</f>
        <v>10687</v>
      </c>
    </row>
    <row r="69" spans="1:9" x14ac:dyDescent="0.2">
      <c r="C69" s="2"/>
      <c r="D69" s="2"/>
      <c r="E69" s="2"/>
      <c r="F69" s="12"/>
      <c r="G69" s="2"/>
      <c r="H69" s="2"/>
    </row>
    <row r="70" spans="1:9" x14ac:dyDescent="0.2">
      <c r="A70" s="4">
        <v>95</v>
      </c>
      <c r="B70" s="6">
        <v>19.989999999999998</v>
      </c>
      <c r="C70" s="7">
        <v>299</v>
      </c>
      <c r="D70" s="19">
        <v>99.99</v>
      </c>
      <c r="E70" s="7">
        <v>999</v>
      </c>
      <c r="F70" s="6">
        <v>11.88</v>
      </c>
      <c r="G70" s="7">
        <v>999</v>
      </c>
      <c r="H70" s="6">
        <v>999.99</v>
      </c>
    </row>
    <row r="71" spans="1:9" x14ac:dyDescent="0.2">
      <c r="A71" s="2"/>
      <c r="B71" s="2">
        <v>0.48399999999999999</v>
      </c>
      <c r="C71" s="2">
        <v>2.8759999999999999</v>
      </c>
      <c r="D71" s="35">
        <v>2.5404399999999998</v>
      </c>
      <c r="E71" s="2">
        <v>2.2925</v>
      </c>
      <c r="F71" s="34">
        <v>0.41189999999999999</v>
      </c>
      <c r="G71" s="2">
        <v>3.2362000000000002</v>
      </c>
      <c r="H71" s="2">
        <v>0.27910000000000001</v>
      </c>
    </row>
    <row r="72" spans="1:9" x14ac:dyDescent="0.2">
      <c r="A72" s="2"/>
      <c r="B72" s="8">
        <f>+ROUNDUP((B70*B71),2)</f>
        <v>9.68</v>
      </c>
      <c r="C72" s="1">
        <f>+TRUNC((C70*C71),0)</f>
        <v>859</v>
      </c>
      <c r="D72" s="16">
        <f>+TRUNC((D70*D71),2)</f>
        <v>254.01</v>
      </c>
      <c r="E72" s="1">
        <f>+TRUNC((E70*E71),0)</f>
        <v>2290</v>
      </c>
      <c r="F72" s="8">
        <f>+ROUNDUP((F70*F71),2)</f>
        <v>4.8999999999999995</v>
      </c>
      <c r="G72" s="1">
        <f>+TRUNC((G70*G71),0)</f>
        <v>3232</v>
      </c>
      <c r="H72" s="8">
        <f>+ROUNDUP((H70*H71),2)</f>
        <v>279.09999999999997</v>
      </c>
    </row>
    <row r="73" spans="1:9" x14ac:dyDescent="0.2">
      <c r="A73" s="1"/>
      <c r="B73" s="7">
        <f>TRUNC(58.015*(11.5-B72)^1.81)</f>
        <v>171</v>
      </c>
      <c r="C73" s="7">
        <f>TRUNC(0.14354*(C72-220)^1.4)</f>
        <v>1215</v>
      </c>
      <c r="D73" s="17">
        <f>TRUNC(51.39*(D72-1.5)^1.05)</f>
        <v>17110</v>
      </c>
      <c r="E73" s="7">
        <f>TRUNC(0.8465*(E72-75)^1.42)</f>
        <v>47649</v>
      </c>
      <c r="F73" s="7">
        <f>TRUNC(20.5173*(15.5-F72)^1.92)</f>
        <v>1908</v>
      </c>
      <c r="G73" s="7">
        <f>TRUNC(0.2797*(G72-100)^1.35)</f>
        <v>14657</v>
      </c>
      <c r="H73" s="7">
        <f>TRUNC(0.08713*(305.5-H72)^1.85)</f>
        <v>37</v>
      </c>
      <c r="I73" s="11">
        <f>SUM(B73:H73)</f>
        <v>82747</v>
      </c>
    </row>
    <row r="74" spans="1:9" x14ac:dyDescent="0.2">
      <c r="C74" s="2"/>
      <c r="D74" s="2"/>
      <c r="E74" s="2"/>
      <c r="F74" s="3"/>
      <c r="G74" s="2"/>
      <c r="H74" s="2"/>
    </row>
    <row r="75" spans="1:9" x14ac:dyDescent="0.2">
      <c r="A75" s="4" t="s">
        <v>9</v>
      </c>
      <c r="B75" s="6">
        <v>29.99</v>
      </c>
      <c r="C75" s="7">
        <v>99</v>
      </c>
      <c r="D75" s="19">
        <v>99.99</v>
      </c>
      <c r="E75" s="7">
        <v>999</v>
      </c>
      <c r="F75" s="6">
        <v>11.88</v>
      </c>
      <c r="G75" s="7">
        <v>999</v>
      </c>
      <c r="H75" s="6">
        <v>999.99</v>
      </c>
    </row>
    <row r="76" spans="1:9" x14ac:dyDescent="0.2">
      <c r="A76" s="2"/>
      <c r="B76" s="34">
        <v>0.27829999999999999</v>
      </c>
      <c r="C76" s="34">
        <v>6.4391999999999996</v>
      </c>
      <c r="D76" s="34">
        <v>3.3512</v>
      </c>
      <c r="E76" s="34">
        <v>3.5</v>
      </c>
      <c r="F76" s="34">
        <v>0.31369999999999998</v>
      </c>
      <c r="G76" s="34">
        <v>4.8547000000000002</v>
      </c>
      <c r="H76" s="34">
        <v>0.1908</v>
      </c>
    </row>
    <row r="77" spans="1:9" x14ac:dyDescent="0.2">
      <c r="A77" s="2"/>
      <c r="B77" s="8">
        <f>+ROUNDUP((B75*B76),2)</f>
        <v>8.35</v>
      </c>
      <c r="C77" s="1">
        <f>+TRUNC((C75*C76),0)</f>
        <v>637</v>
      </c>
      <c r="D77" s="8">
        <f>+TRUNC((D75*D76),2)</f>
        <v>335.08</v>
      </c>
      <c r="E77" s="1">
        <f>+TRUNC((E75*E76),0)</f>
        <v>3496</v>
      </c>
      <c r="F77" s="8">
        <f>+ROUNDUP((F75*F76),2)</f>
        <v>3.73</v>
      </c>
      <c r="G77" s="1">
        <f>+TRUNC((G75*G76),0)</f>
        <v>4849</v>
      </c>
      <c r="H77" s="8">
        <f>+ROUNDUP((H75*H76),2)</f>
        <v>190.79999999999998</v>
      </c>
    </row>
    <row r="78" spans="1:9" x14ac:dyDescent="0.2">
      <c r="A78" s="1"/>
      <c r="B78" s="7">
        <f>TRUNC(58.015*(11.5-B77)^1.81)</f>
        <v>462</v>
      </c>
      <c r="C78" s="7">
        <f>TRUNC(0.14354*(C77-220)^1.4)</f>
        <v>668</v>
      </c>
      <c r="D78" s="7">
        <f>TRUNC(51.39*(D77-1.5)^1.05)</f>
        <v>22921</v>
      </c>
      <c r="E78" s="7">
        <f>TRUNC(0.8465*(E77-75)^1.42)</f>
        <v>88333</v>
      </c>
      <c r="F78" s="7">
        <f>TRUNC(20.5173*(15.5-F77)^1.92)</f>
        <v>2333</v>
      </c>
      <c r="G78" s="7">
        <f>TRUNC(0.2797*(G77-100)^1.35)</f>
        <v>25710</v>
      </c>
      <c r="H78" s="7">
        <f>TRUNC(0.08713*(305.5-H77)^1.85)</f>
        <v>562</v>
      </c>
      <c r="I78" s="11">
        <f>SUM(B78:H78)</f>
        <v>140989</v>
      </c>
    </row>
    <row r="79" spans="1:9" x14ac:dyDescent="0.2">
      <c r="C79" s="2"/>
      <c r="D79" s="2"/>
      <c r="E79" s="2"/>
      <c r="F79" s="3"/>
      <c r="G79" s="2"/>
      <c r="H79" s="2"/>
    </row>
    <row r="80" spans="1:9" x14ac:dyDescent="0.2">
      <c r="C80" s="2"/>
      <c r="D80" s="2"/>
      <c r="E80" s="2"/>
      <c r="F80" s="2"/>
      <c r="G80" s="2"/>
      <c r="H80" s="2"/>
    </row>
    <row r="81" spans="2:8" x14ac:dyDescent="0.2">
      <c r="C81" s="2"/>
      <c r="D81" s="2"/>
      <c r="E81" s="2"/>
      <c r="F81" s="2"/>
      <c r="G81" s="2"/>
      <c r="H81" s="2"/>
    </row>
    <row r="82" spans="2:8" x14ac:dyDescent="0.2">
      <c r="C82" s="2"/>
      <c r="D82" s="2"/>
      <c r="E82" s="2"/>
      <c r="F82" s="2"/>
      <c r="G82" s="2"/>
      <c r="H82" s="2"/>
    </row>
    <row r="83" spans="2:8" x14ac:dyDescent="0.2">
      <c r="C83" s="2"/>
      <c r="D83" s="2"/>
      <c r="E83" s="2"/>
      <c r="F83" s="2"/>
      <c r="G83" s="2"/>
      <c r="H83" s="2"/>
    </row>
    <row r="84" spans="2:8" x14ac:dyDescent="0.2">
      <c r="C84" s="2"/>
      <c r="D84" s="2"/>
      <c r="E84" s="2"/>
      <c r="F84" s="2"/>
      <c r="G84" s="2"/>
      <c r="H84" s="2"/>
    </row>
    <row r="85" spans="2:8" x14ac:dyDescent="0.2">
      <c r="C85" s="2"/>
      <c r="D85" s="2"/>
      <c r="E85" s="2"/>
      <c r="F85" s="2"/>
      <c r="G85" s="2"/>
      <c r="H85" s="2"/>
    </row>
    <row r="86" spans="2:8" x14ac:dyDescent="0.2">
      <c r="C86" s="2"/>
      <c r="D86" s="2"/>
      <c r="E86" s="2"/>
      <c r="F86" s="2"/>
      <c r="G86" s="2"/>
      <c r="H86" s="2"/>
    </row>
    <row r="87" spans="2:8" x14ac:dyDescent="0.2">
      <c r="C87" s="2"/>
      <c r="D87" s="2"/>
      <c r="E87" s="2"/>
      <c r="F87" s="2"/>
      <c r="G87" s="2"/>
      <c r="H87" s="2"/>
    </row>
    <row r="88" spans="2:8" x14ac:dyDescent="0.2">
      <c r="C88" s="2"/>
      <c r="D88" s="2"/>
      <c r="E88" s="2"/>
      <c r="F88" s="2"/>
      <c r="G88" s="2"/>
      <c r="H88" s="2"/>
    </row>
    <row r="89" spans="2:8" x14ac:dyDescent="0.2">
      <c r="B89" s="11"/>
      <c r="C89" s="2"/>
      <c r="D89" s="2"/>
      <c r="E89" s="2"/>
      <c r="F89" s="2"/>
      <c r="G89" s="2"/>
      <c r="H89" s="2"/>
    </row>
  </sheetData>
  <phoneticPr fontId="5" type="noConversion"/>
  <pageMargins left="0.75" right="0.75" top="1" bottom="1" header="0.4921259845" footer="0.492125984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66B-9F03-4F2A-A37C-FDB151976D35}">
  <dimension ref="A1:AB83"/>
  <sheetViews>
    <sheetView zoomScaleNormal="100" workbookViewId="0">
      <selection activeCell="A25" sqref="A25"/>
    </sheetView>
  </sheetViews>
  <sheetFormatPr defaultRowHeight="12.75" x14ac:dyDescent="0.2"/>
  <cols>
    <col min="1" max="1" width="6.85546875" customWidth="1"/>
    <col min="2" max="2" width="15.28515625" style="2" bestFit="1" customWidth="1"/>
    <col min="3" max="3" width="10" bestFit="1" customWidth="1"/>
    <col min="4" max="4" width="10" style="2" bestFit="1" customWidth="1"/>
    <col min="5" max="5" width="11" bestFit="1" customWidth="1"/>
    <col min="6" max="8" width="10.85546875" bestFit="1" customWidth="1"/>
    <col min="9" max="9" width="12.42578125" bestFit="1" customWidth="1"/>
    <col min="10" max="10" width="10.42578125" customWidth="1"/>
    <col min="11" max="11" width="11.7109375" style="2" bestFit="1" customWidth="1"/>
    <col min="12" max="12" width="9.85546875" bestFit="1" customWidth="1"/>
    <col min="13" max="13" width="9.85546875" style="2" bestFit="1" customWidth="1"/>
    <col min="14" max="15" width="9.85546875" bestFit="1" customWidth="1"/>
    <col min="16" max="16" width="10" bestFit="1" customWidth="1"/>
    <col min="17" max="18" width="9.85546875" bestFit="1" customWidth="1"/>
    <col min="19" max="19" width="10.140625" bestFit="1" customWidth="1"/>
    <col min="20" max="20" width="10.7109375" bestFit="1" customWidth="1"/>
    <col min="21" max="21" width="11" bestFit="1" customWidth="1"/>
    <col min="22" max="22" width="4" customWidth="1"/>
    <col min="23" max="23" width="11.42578125" bestFit="1" customWidth="1"/>
    <col min="24" max="25" width="13.28515625" bestFit="1" customWidth="1"/>
    <col min="26" max="26" width="12.140625" bestFit="1" customWidth="1"/>
    <col min="27" max="27" width="13.42578125" bestFit="1" customWidth="1"/>
    <col min="28" max="28" width="11" bestFit="1" customWidth="1"/>
  </cols>
  <sheetData>
    <row r="1" spans="1:28" x14ac:dyDescent="0.2">
      <c r="B1" s="72" t="s">
        <v>63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44"/>
      <c r="W1" s="44"/>
    </row>
    <row r="2" spans="1:28" x14ac:dyDescent="0.2">
      <c r="B2" s="2" t="s">
        <v>59</v>
      </c>
      <c r="C2" s="41"/>
      <c r="D2" s="38" t="s">
        <v>65</v>
      </c>
      <c r="E2" s="70" t="s">
        <v>69</v>
      </c>
      <c r="F2" s="70"/>
      <c r="G2" s="70"/>
      <c r="H2" s="70"/>
      <c r="J2" s="70" t="s">
        <v>71</v>
      </c>
      <c r="K2" s="70"/>
      <c r="L2" s="70"/>
      <c r="M2" s="70"/>
      <c r="N2" s="71" t="s">
        <v>70</v>
      </c>
      <c r="O2" s="71"/>
      <c r="P2" s="71"/>
      <c r="Q2" s="71"/>
      <c r="R2" s="71"/>
      <c r="V2" s="2"/>
      <c r="W2" s="2"/>
    </row>
    <row r="3" spans="1:28" x14ac:dyDescent="0.2">
      <c r="B3" s="2" t="s">
        <v>60</v>
      </c>
      <c r="C3" s="58"/>
      <c r="D3" s="38" t="s">
        <v>66</v>
      </c>
      <c r="K3"/>
      <c r="M3"/>
      <c r="V3" s="2"/>
      <c r="W3" s="2"/>
    </row>
    <row r="4" spans="1:28" x14ac:dyDescent="0.2">
      <c r="B4" s="2" t="s">
        <v>61</v>
      </c>
      <c r="C4" s="42"/>
      <c r="D4" s="38" t="s">
        <v>67</v>
      </c>
      <c r="K4"/>
      <c r="M4"/>
      <c r="V4" s="2"/>
      <c r="W4" s="2"/>
      <c r="X4" s="74" t="s">
        <v>74</v>
      </c>
      <c r="Y4" s="74"/>
      <c r="Z4" s="74"/>
      <c r="AA4" s="74"/>
      <c r="AB4" s="74"/>
    </row>
    <row r="5" spans="1:28" x14ac:dyDescent="0.2">
      <c r="B5" s="2" t="s">
        <v>62</v>
      </c>
      <c r="C5" s="43"/>
      <c r="D5" s="38" t="s">
        <v>68</v>
      </c>
      <c r="K5"/>
      <c r="M5"/>
      <c r="V5" s="2"/>
      <c r="W5" s="2"/>
      <c r="X5" s="75" t="s">
        <v>75</v>
      </c>
      <c r="Y5" s="75"/>
      <c r="Z5" s="75"/>
      <c r="AA5" s="75"/>
      <c r="AB5" s="75"/>
    </row>
    <row r="6" spans="1:28" x14ac:dyDescent="0.2">
      <c r="A6" s="5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75"/>
      <c r="Y6" s="75"/>
      <c r="Z6" s="75"/>
      <c r="AA6" s="75"/>
      <c r="AB6" s="75"/>
    </row>
    <row r="7" spans="1:28" x14ac:dyDescent="0.2">
      <c r="A7" s="5" t="s">
        <v>64</v>
      </c>
      <c r="B7" s="21" t="s">
        <v>17</v>
      </c>
      <c r="C7" s="21" t="s">
        <v>3</v>
      </c>
      <c r="D7" s="21" t="s">
        <v>18</v>
      </c>
      <c r="E7" s="21" t="s">
        <v>6</v>
      </c>
      <c r="F7" s="21" t="s">
        <v>16</v>
      </c>
      <c r="G7" s="21" t="s">
        <v>53</v>
      </c>
      <c r="H7" s="21" t="s">
        <v>48</v>
      </c>
      <c r="I7" s="21" t="s">
        <v>49</v>
      </c>
      <c r="J7" s="21" t="s">
        <v>4</v>
      </c>
      <c r="K7" s="21" t="s">
        <v>50</v>
      </c>
      <c r="L7" s="21" t="s">
        <v>1</v>
      </c>
      <c r="M7" s="21" t="s">
        <v>19</v>
      </c>
      <c r="N7" s="21" t="s">
        <v>13</v>
      </c>
      <c r="O7" s="21" t="s">
        <v>2</v>
      </c>
      <c r="P7" s="21" t="s">
        <v>5</v>
      </c>
      <c r="Q7" s="21" t="s">
        <v>12</v>
      </c>
      <c r="R7" s="21" t="s">
        <v>14</v>
      </c>
      <c r="S7" s="21" t="s">
        <v>15</v>
      </c>
      <c r="T7" s="21" t="s">
        <v>51</v>
      </c>
      <c r="U7" s="21" t="s">
        <v>52</v>
      </c>
      <c r="V7" s="21"/>
      <c r="W7" s="21"/>
      <c r="X7" s="21" t="s">
        <v>54</v>
      </c>
      <c r="Y7" s="21" t="s">
        <v>58</v>
      </c>
      <c r="Z7" s="21" t="s">
        <v>55</v>
      </c>
      <c r="AA7" s="21" t="s">
        <v>56</v>
      </c>
      <c r="AB7" s="21" t="s">
        <v>57</v>
      </c>
    </row>
    <row r="8" spans="1:28" ht="8.25" customHeight="1" x14ac:dyDescent="0.25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2"/>
      <c r="W8" s="2"/>
      <c r="X8" s="40"/>
      <c r="Y8" s="40"/>
      <c r="Z8" s="40"/>
      <c r="AA8" s="40"/>
      <c r="AB8" s="40"/>
    </row>
    <row r="9" spans="1:28" x14ac:dyDescent="0.2">
      <c r="A9" s="4">
        <v>30</v>
      </c>
      <c r="B9" s="45">
        <v>11.75</v>
      </c>
      <c r="C9" s="46">
        <v>23.8</v>
      </c>
      <c r="D9" s="45">
        <v>53.08</v>
      </c>
      <c r="E9" s="46">
        <v>127.6</v>
      </c>
      <c r="F9" s="46">
        <v>254.4</v>
      </c>
      <c r="G9" s="45">
        <v>549</v>
      </c>
      <c r="H9" s="45">
        <v>963</v>
      </c>
      <c r="I9" s="45">
        <v>2029</v>
      </c>
      <c r="J9" s="47">
        <v>648</v>
      </c>
      <c r="K9" s="45">
        <v>1368</v>
      </c>
      <c r="L9" s="47">
        <v>182</v>
      </c>
      <c r="M9" s="45">
        <v>406</v>
      </c>
      <c r="N9" s="46">
        <v>57.4</v>
      </c>
      <c r="O9" s="46">
        <v>17.07</v>
      </c>
      <c r="P9" s="46">
        <v>57.2</v>
      </c>
      <c r="Q9" s="46">
        <v>53.05</v>
      </c>
      <c r="R9" s="46">
        <v>18.170000000000002</v>
      </c>
      <c r="S9" s="46">
        <v>13.85</v>
      </c>
      <c r="T9" s="46">
        <v>64.459999999999994</v>
      </c>
      <c r="U9" s="46">
        <v>274.89999999999998</v>
      </c>
      <c r="V9" s="55" t="s">
        <v>65</v>
      </c>
      <c r="W9" s="55" t="s">
        <v>59</v>
      </c>
      <c r="X9" s="79">
        <v>13.05</v>
      </c>
      <c r="Y9" s="79">
        <v>22.35</v>
      </c>
      <c r="Z9" s="79">
        <v>46.3</v>
      </c>
      <c r="AA9" s="79">
        <v>72.5</v>
      </c>
      <c r="AB9" s="79">
        <v>152</v>
      </c>
    </row>
    <row r="10" spans="1:28" x14ac:dyDescent="0.2">
      <c r="A10" s="2"/>
      <c r="B10" s="59">
        <v>1</v>
      </c>
      <c r="C10" s="59">
        <v>1</v>
      </c>
      <c r="D10" s="59">
        <v>1</v>
      </c>
      <c r="E10" s="59">
        <v>1</v>
      </c>
      <c r="F10" s="59">
        <v>1</v>
      </c>
      <c r="G10" s="59">
        <v>1</v>
      </c>
      <c r="H10" s="59">
        <v>1</v>
      </c>
      <c r="I10" s="59">
        <v>1</v>
      </c>
      <c r="J10" s="59">
        <v>1</v>
      </c>
      <c r="K10" s="59">
        <v>1</v>
      </c>
      <c r="L10" s="59">
        <v>1</v>
      </c>
      <c r="M10" s="59">
        <v>1</v>
      </c>
      <c r="N10" s="59">
        <v>1</v>
      </c>
      <c r="O10" s="59">
        <v>1</v>
      </c>
      <c r="P10" s="59">
        <v>1</v>
      </c>
      <c r="Q10" s="59">
        <v>1</v>
      </c>
      <c r="R10" s="59">
        <v>1</v>
      </c>
      <c r="S10" s="59">
        <v>1</v>
      </c>
      <c r="T10" s="59">
        <v>1</v>
      </c>
      <c r="U10" s="59">
        <v>1</v>
      </c>
      <c r="V10" s="60" t="s">
        <v>66</v>
      </c>
      <c r="W10" s="60" t="s">
        <v>60</v>
      </c>
      <c r="X10" s="76">
        <v>1</v>
      </c>
      <c r="Y10" s="76">
        <v>1</v>
      </c>
      <c r="Z10" s="76">
        <v>1</v>
      </c>
      <c r="AA10" s="76">
        <v>1</v>
      </c>
      <c r="AB10" s="76">
        <v>1</v>
      </c>
    </row>
    <row r="11" spans="1:28" x14ac:dyDescent="0.2">
      <c r="A11" s="2"/>
      <c r="B11" s="49">
        <f t="shared" ref="B11:I11" si="0">+ROUNDUP((B9*B10),2)</f>
        <v>11.75</v>
      </c>
      <c r="C11" s="49">
        <f t="shared" si="0"/>
        <v>23.8</v>
      </c>
      <c r="D11" s="49">
        <f t="shared" si="0"/>
        <v>53.08</v>
      </c>
      <c r="E11" s="49">
        <f t="shared" si="0"/>
        <v>127.6</v>
      </c>
      <c r="F11" s="49">
        <f t="shared" si="0"/>
        <v>254.4</v>
      </c>
      <c r="G11" s="49">
        <f t="shared" si="0"/>
        <v>549</v>
      </c>
      <c r="H11" s="49">
        <f t="shared" si="0"/>
        <v>963</v>
      </c>
      <c r="I11" s="49">
        <f t="shared" si="0"/>
        <v>2029</v>
      </c>
      <c r="J11" s="50">
        <f>+TRUNC((J9*J10),0)</f>
        <v>648</v>
      </c>
      <c r="K11" s="50">
        <f>+TRUNC((K9*K10),0)</f>
        <v>1368</v>
      </c>
      <c r="L11" s="50">
        <f>+TRUNC((L9*L10),0)</f>
        <v>182</v>
      </c>
      <c r="M11" s="50">
        <f>+TRUNC((M9*M10),0)</f>
        <v>406</v>
      </c>
      <c r="N11" s="49">
        <f>+TRUNC((N9*N10),2)</f>
        <v>57.4</v>
      </c>
      <c r="O11" s="49">
        <f>+TRUNC((O9*O10),2)</f>
        <v>17.07</v>
      </c>
      <c r="P11" s="49">
        <f>+TRUNC((P9*P10),2)</f>
        <v>57.2</v>
      </c>
      <c r="Q11" s="49">
        <f>+TRUNC((Q9*Q10),2)</f>
        <v>53.05</v>
      </c>
      <c r="R11" s="49">
        <f>+TRUNC((R9*R10),2)</f>
        <v>18.170000000000002</v>
      </c>
      <c r="S11" s="49">
        <f>+ROUNDUP((S9*S10),2)</f>
        <v>13.85</v>
      </c>
      <c r="T11" s="49">
        <f>+ROUNDUP((T9*T10),2)</f>
        <v>64.459999999999994</v>
      </c>
      <c r="U11" s="49">
        <f>+ROUNDUP((U9*U10),2)</f>
        <v>274.89999999999998</v>
      </c>
      <c r="V11" s="56" t="s">
        <v>67</v>
      </c>
      <c r="W11" s="56" t="s">
        <v>61</v>
      </c>
      <c r="X11" s="77">
        <f t="shared" ref="X11:Z11" si="1">+ROUNDUP((X9*X10),2)</f>
        <v>13.05</v>
      </c>
      <c r="Y11" s="77">
        <f t="shared" si="1"/>
        <v>22.35</v>
      </c>
      <c r="Z11" s="77">
        <f t="shared" si="1"/>
        <v>46.3</v>
      </c>
      <c r="AA11" s="78">
        <v>72.5</v>
      </c>
      <c r="AB11" s="78">
        <v>152</v>
      </c>
    </row>
    <row r="12" spans="1:28" x14ac:dyDescent="0.2">
      <c r="A12" s="1"/>
      <c r="B12" s="51">
        <f>TRUNC(17.857*(21-B11)^1.81)</f>
        <v>1001</v>
      </c>
      <c r="C12" s="51">
        <f>TRUNC(4.99087*(42.5-C11)^1.81)</f>
        <v>1000</v>
      </c>
      <c r="D12" s="51">
        <f>TRUNC(1.34285*(91.7-D11)^1.81)</f>
        <v>1000</v>
      </c>
      <c r="E12" s="51">
        <f>TRUNC(0.11193*(254-E11)^1.88)</f>
        <v>1000</v>
      </c>
      <c r="F12" s="51">
        <f>TRUNC(0.06039*(430-F9)^1.88)</f>
        <v>1001</v>
      </c>
      <c r="G12" s="51">
        <f>TRUNC(0.01409*(930-G11)^1.88)</f>
        <v>1002</v>
      </c>
      <c r="H12" s="51">
        <f>TRUNC(0.00491*(1630-H11)^1.88)</f>
        <v>1001</v>
      </c>
      <c r="I12" s="51">
        <f>TRUNC(0.00111*(3500-I11)^1.88)</f>
        <v>1001</v>
      </c>
      <c r="J12" s="51">
        <f>TRUNC(0.188807*(J11-210)^1.41)</f>
        <v>1001</v>
      </c>
      <c r="K12" s="51">
        <f>TRUNC(0.08559*(K11-600)^1.41)</f>
        <v>1001</v>
      </c>
      <c r="L12" s="51">
        <f>TRUNC(1.84523*(L11-75)^1.348)</f>
        <v>1003</v>
      </c>
      <c r="M12" s="51">
        <f>TRUNC(0.44125*(M11-100)^1.35)</f>
        <v>1000</v>
      </c>
      <c r="N12" s="51">
        <f>TRUNC(12.3311*(N11-3)^1.1)</f>
        <v>1000</v>
      </c>
      <c r="O12" s="51">
        <f>TRUNC(56.0211*(O11-1.5)^1.05)</f>
        <v>1000</v>
      </c>
      <c r="P12" s="51">
        <f>TRUNC(15.9803*(P11-3.8)^1.04)</f>
        <v>1000</v>
      </c>
      <c r="Q12" s="51">
        <f>TRUNC(17.5458*(Q11-6)^1.05)</f>
        <v>1000</v>
      </c>
      <c r="R12" s="51">
        <f>TRUNC(52.1403*(R11-1.5)^1.05)</f>
        <v>1000</v>
      </c>
      <c r="S12" s="51">
        <f>TRUNC(9.23076*(26.7-S11)^1.835)</f>
        <v>1000</v>
      </c>
      <c r="T12" s="51">
        <f>TRUNC(1.348*(103-T11)^1.81)</f>
        <v>1000</v>
      </c>
      <c r="U12" s="51">
        <f>TRUNC(0.02883*(535-U11)^1.88)</f>
        <v>1000</v>
      </c>
      <c r="V12" s="57" t="s">
        <v>68</v>
      </c>
      <c r="W12" s="57" t="s">
        <v>62</v>
      </c>
      <c r="X12" s="82">
        <v>1000</v>
      </c>
      <c r="Y12" s="82">
        <v>1000</v>
      </c>
      <c r="Z12" s="82">
        <v>1000</v>
      </c>
      <c r="AA12" s="82">
        <v>1000</v>
      </c>
      <c r="AB12" s="82">
        <v>1000</v>
      </c>
    </row>
    <row r="13" spans="1:28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>
        <v>66</v>
      </c>
      <c r="U13" s="48"/>
      <c r="V13" s="38"/>
      <c r="W13" s="38"/>
      <c r="X13" s="83"/>
      <c r="Y13" s="83"/>
      <c r="Z13" s="83"/>
      <c r="AA13" s="83"/>
      <c r="AB13" s="83"/>
    </row>
    <row r="14" spans="1:28" x14ac:dyDescent="0.2">
      <c r="A14" s="4">
        <v>35</v>
      </c>
      <c r="B14" s="45">
        <v>11.75</v>
      </c>
      <c r="C14" s="46">
        <v>23.8</v>
      </c>
      <c r="D14" s="45">
        <v>54.25</v>
      </c>
      <c r="E14" s="46">
        <v>128.5</v>
      </c>
      <c r="F14" s="46">
        <v>254.5</v>
      </c>
      <c r="G14" s="45">
        <v>549</v>
      </c>
      <c r="H14" s="45">
        <v>965.8</v>
      </c>
      <c r="I14" s="45">
        <v>2056</v>
      </c>
      <c r="J14" s="47">
        <v>628</v>
      </c>
      <c r="K14" s="45">
        <v>1363</v>
      </c>
      <c r="L14" s="47">
        <v>179</v>
      </c>
      <c r="M14" s="45">
        <v>406</v>
      </c>
      <c r="N14" s="46">
        <v>57.43</v>
      </c>
      <c r="O14" s="46">
        <v>16.47</v>
      </c>
      <c r="P14" s="46">
        <v>55.9</v>
      </c>
      <c r="Q14" s="46">
        <v>50.15</v>
      </c>
      <c r="R14" s="46">
        <v>17.55</v>
      </c>
      <c r="S14" s="46">
        <v>13.94</v>
      </c>
      <c r="T14" s="45">
        <v>65.989999999999995</v>
      </c>
      <c r="U14" s="45">
        <v>284.69</v>
      </c>
      <c r="V14" s="55" t="s">
        <v>65</v>
      </c>
      <c r="W14" s="55" t="s">
        <v>59</v>
      </c>
      <c r="X14" s="79">
        <v>13.4</v>
      </c>
      <c r="Y14" s="79">
        <v>23.35</v>
      </c>
      <c r="Z14" s="80">
        <v>48.3</v>
      </c>
      <c r="AA14" s="80">
        <v>76.150000000000006</v>
      </c>
      <c r="AB14" s="80">
        <v>159</v>
      </c>
    </row>
    <row r="15" spans="1:28" x14ac:dyDescent="0.2">
      <c r="A15" s="2"/>
      <c r="B15" s="59">
        <v>1</v>
      </c>
      <c r="C15" s="59">
        <v>1</v>
      </c>
      <c r="D15" s="59">
        <v>0.97829999999999995</v>
      </c>
      <c r="E15" s="59">
        <v>0.9929</v>
      </c>
      <c r="F15" s="59">
        <v>0.98119999999999996</v>
      </c>
      <c r="G15" s="59">
        <v>1</v>
      </c>
      <c r="H15" s="59">
        <v>0.99739999999999995</v>
      </c>
      <c r="I15" s="59">
        <v>0.9869</v>
      </c>
      <c r="J15" s="59">
        <v>1.0323</v>
      </c>
      <c r="K15" s="59">
        <v>1.0039</v>
      </c>
      <c r="L15" s="59">
        <v>1.0205</v>
      </c>
      <c r="M15" s="59">
        <v>1.0024</v>
      </c>
      <c r="N15" s="59">
        <v>1</v>
      </c>
      <c r="O15" s="59">
        <v>1.0367999999999999</v>
      </c>
      <c r="P15" s="59">
        <v>1.0236000000000001</v>
      </c>
      <c r="Q15" s="59">
        <v>1.0572999999999999</v>
      </c>
      <c r="R15" s="59">
        <v>1.0355000000000001</v>
      </c>
      <c r="S15" s="59">
        <v>0.99319999999999997</v>
      </c>
      <c r="T15" s="59">
        <v>0.97599999999999998</v>
      </c>
      <c r="U15" s="59">
        <v>0.96550000000000002</v>
      </c>
      <c r="V15" s="60" t="s">
        <v>66</v>
      </c>
      <c r="W15" s="60" t="s">
        <v>60</v>
      </c>
      <c r="X15" s="76">
        <v>0.99650000000000005</v>
      </c>
      <c r="Y15" s="76">
        <v>0.99919999999999998</v>
      </c>
      <c r="Z15" s="76">
        <v>1</v>
      </c>
      <c r="AA15" s="76">
        <v>0.98019999999999996</v>
      </c>
      <c r="AB15" s="76">
        <v>0.99819999999999998</v>
      </c>
    </row>
    <row r="16" spans="1:28" x14ac:dyDescent="0.2">
      <c r="A16" s="2"/>
      <c r="B16" s="49">
        <f t="shared" ref="B16:I16" si="2">+ROUNDUP((B14*B15),2)</f>
        <v>11.75</v>
      </c>
      <c r="C16" s="49">
        <f t="shared" si="2"/>
        <v>23.8</v>
      </c>
      <c r="D16" s="49">
        <f t="shared" si="2"/>
        <v>53.08</v>
      </c>
      <c r="E16" s="49">
        <f t="shared" si="2"/>
        <v>127.59</v>
      </c>
      <c r="F16" s="49">
        <f t="shared" si="2"/>
        <v>249.72</v>
      </c>
      <c r="G16" s="49">
        <f t="shared" si="2"/>
        <v>549</v>
      </c>
      <c r="H16" s="49">
        <f t="shared" si="2"/>
        <v>963.29</v>
      </c>
      <c r="I16" s="49">
        <f t="shared" si="2"/>
        <v>2029.07</v>
      </c>
      <c r="J16" s="50">
        <f>+TRUNC((J14*J15),0)</f>
        <v>648</v>
      </c>
      <c r="K16" s="50">
        <f>+TRUNC((K14*K15),0)</f>
        <v>1368</v>
      </c>
      <c r="L16" s="50">
        <f>+TRUNC((L14*L15),0)</f>
        <v>182</v>
      </c>
      <c r="M16" s="50">
        <f>+TRUNC((M14*M15),0)</f>
        <v>406</v>
      </c>
      <c r="N16" s="49">
        <f>+TRUNC((N14*N15),2)</f>
        <v>57.43</v>
      </c>
      <c r="O16" s="49">
        <f>+TRUNC((O14*O15),2)</f>
        <v>17.07</v>
      </c>
      <c r="P16" s="49">
        <f>+TRUNC((P14*P15),2)</f>
        <v>57.21</v>
      </c>
      <c r="Q16" s="49">
        <f>+TRUNC((Q14*Q15),2)</f>
        <v>53.02</v>
      </c>
      <c r="R16" s="49">
        <f>+TRUNC((R14*R15),2)</f>
        <v>18.170000000000002</v>
      </c>
      <c r="S16" s="49">
        <f>+ROUNDUP((S14*S15),2)</f>
        <v>13.85</v>
      </c>
      <c r="T16" s="49">
        <f>+ROUNDUP((T14*T15),2)</f>
        <v>64.410000000000011</v>
      </c>
      <c r="U16" s="49">
        <f>+ROUNDUP((U14*U15),2)</f>
        <v>274.87</v>
      </c>
      <c r="V16" s="56" t="s">
        <v>67</v>
      </c>
      <c r="W16" s="56" t="s">
        <v>61</v>
      </c>
      <c r="X16" s="81">
        <f t="shared" ref="X16:Z16" si="3">+ROUNDUP((X14*X15),2)</f>
        <v>13.36</v>
      </c>
      <c r="Y16" s="81">
        <f t="shared" si="3"/>
        <v>23.34</v>
      </c>
      <c r="Z16" s="81">
        <f t="shared" si="3"/>
        <v>48.3</v>
      </c>
      <c r="AA16" s="78">
        <v>67.3</v>
      </c>
      <c r="AB16" s="78">
        <v>145</v>
      </c>
    </row>
    <row r="17" spans="1:28" x14ac:dyDescent="0.2">
      <c r="A17" s="1"/>
      <c r="B17" s="51">
        <f>TRUNC(17.857*(21-B16)^1.81)</f>
        <v>1001</v>
      </c>
      <c r="C17" s="51">
        <f>TRUNC(4.99087*(42.5-C16)^1.81)</f>
        <v>1000</v>
      </c>
      <c r="D17" s="51">
        <f>TRUNC(1.34285*(91.7-D16)^1.81)</f>
        <v>1000</v>
      </c>
      <c r="E17" s="51">
        <f>TRUNC(0.11193*(254-E16)^1.88)</f>
        <v>1000</v>
      </c>
      <c r="F17" s="51">
        <f>TRUNC(0.06039*(430-F14)^1.88)</f>
        <v>1000</v>
      </c>
      <c r="G17" s="51">
        <f>TRUNC(0.01409*(930-G16)^1.88)</f>
        <v>1002</v>
      </c>
      <c r="H17" s="51">
        <f>TRUNC(0.00491*(1630-H16)^1.88)</f>
        <v>1000</v>
      </c>
      <c r="I17" s="51">
        <f>TRUNC(0.00111*(3500-I16)^1.88)</f>
        <v>1000</v>
      </c>
      <c r="J17" s="51">
        <f>TRUNC(0.188807*(J16-210)^1.41)</f>
        <v>1001</v>
      </c>
      <c r="K17" s="51">
        <f>TRUNC(0.08559*(K16-600)^1.41)</f>
        <v>1001</v>
      </c>
      <c r="L17" s="51">
        <f>TRUNC(1.84523*(L16-75)^1.348)</f>
        <v>1003</v>
      </c>
      <c r="M17" s="51">
        <f>TRUNC(0.44125*(M16-100)^1.35)</f>
        <v>1000</v>
      </c>
      <c r="N17" s="51">
        <f>TRUNC(12.3311*(N16-3)^1.1)</f>
        <v>1000</v>
      </c>
      <c r="O17" s="51">
        <f>TRUNC(56.0211*(O16-1.5)^1.05)</f>
        <v>1000</v>
      </c>
      <c r="P17" s="51">
        <f>TRUNC(15.9803*(P16-3.8)^1.04)</f>
        <v>1000</v>
      </c>
      <c r="Q17" s="51">
        <f>TRUNC(17.5458*(Q16-6)^1.05)</f>
        <v>1000</v>
      </c>
      <c r="R17" s="51">
        <f>TRUNC(52.1403*(R16-1.5)^1.05)</f>
        <v>1000</v>
      </c>
      <c r="S17" s="51">
        <f>TRUNC(9.23076*(26.7-S16)^1.835)</f>
        <v>1000</v>
      </c>
      <c r="T17" s="51">
        <f>TRUNC(1.348*(103-T16)^1.81)</f>
        <v>1002</v>
      </c>
      <c r="U17" s="51">
        <f>TRUNC(0.02883*(535-U16)^1.88)</f>
        <v>1000</v>
      </c>
      <c r="V17" s="57" t="s">
        <v>68</v>
      </c>
      <c r="W17" s="57" t="s">
        <v>62</v>
      </c>
      <c r="X17" s="82">
        <v>1000</v>
      </c>
      <c r="Y17" s="82">
        <v>1000</v>
      </c>
      <c r="Z17" s="82">
        <v>1000</v>
      </c>
      <c r="AA17" s="82">
        <v>1000</v>
      </c>
      <c r="AB17" s="82">
        <v>1000</v>
      </c>
    </row>
    <row r="18" spans="1:28" x14ac:dyDescent="0.2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52"/>
      <c r="T18" s="48"/>
      <c r="U18" s="48"/>
      <c r="V18" s="38"/>
      <c r="W18" s="38"/>
      <c r="X18" s="83"/>
      <c r="Y18" s="83"/>
      <c r="Z18" s="83"/>
      <c r="AA18" s="83"/>
      <c r="AB18" s="83"/>
    </row>
    <row r="19" spans="1:28" x14ac:dyDescent="0.2">
      <c r="A19" s="4">
        <v>40</v>
      </c>
      <c r="B19" s="45">
        <v>11.97</v>
      </c>
      <c r="C19" s="46">
        <v>24.31</v>
      </c>
      <c r="D19" s="45">
        <v>56.22</v>
      </c>
      <c r="E19" s="46">
        <v>133.4</v>
      </c>
      <c r="F19" s="45">
        <v>269.60000000000002</v>
      </c>
      <c r="G19" s="45">
        <v>562.4</v>
      </c>
      <c r="H19" s="45">
        <v>1001.7</v>
      </c>
      <c r="I19" s="45">
        <v>2132</v>
      </c>
      <c r="J19" s="47">
        <v>595</v>
      </c>
      <c r="K19" s="45">
        <v>1279</v>
      </c>
      <c r="L19" s="47">
        <v>170</v>
      </c>
      <c r="M19" s="45">
        <v>382</v>
      </c>
      <c r="N19" s="46">
        <v>53.5</v>
      </c>
      <c r="O19" s="46">
        <v>15.3</v>
      </c>
      <c r="P19" s="46">
        <v>50.64</v>
      </c>
      <c r="Q19" s="46">
        <v>45.65</v>
      </c>
      <c r="R19" s="46">
        <v>16.25</v>
      </c>
      <c r="S19" s="46">
        <v>12.18</v>
      </c>
      <c r="T19" s="45">
        <v>68.459999999999994</v>
      </c>
      <c r="U19" s="45">
        <v>298.5</v>
      </c>
      <c r="V19" s="55" t="s">
        <v>65</v>
      </c>
      <c r="W19" s="55" t="s">
        <v>59</v>
      </c>
      <c r="X19" s="80">
        <v>14.15</v>
      </c>
      <c r="Y19" s="80">
        <v>24.4</v>
      </c>
      <c r="Z19" s="80">
        <v>50.4</v>
      </c>
      <c r="AA19" s="80">
        <v>80</v>
      </c>
      <c r="AB19" s="80">
        <v>168</v>
      </c>
    </row>
    <row r="20" spans="1:28" x14ac:dyDescent="0.2">
      <c r="A20" s="2"/>
      <c r="B20" s="59">
        <v>0.98099999999999998</v>
      </c>
      <c r="C20" s="59">
        <v>0.97870000000000001</v>
      </c>
      <c r="D20" s="59">
        <v>0.94410000000000005</v>
      </c>
      <c r="E20" s="59">
        <v>0.95630000000000004</v>
      </c>
      <c r="F20" s="59">
        <v>0.94410000000000005</v>
      </c>
      <c r="G20" s="59">
        <v>0.97670000000000001</v>
      </c>
      <c r="H20" s="59">
        <v>0.96150000000000002</v>
      </c>
      <c r="I20" s="59">
        <v>0.95189999999999997</v>
      </c>
      <c r="J20" s="59">
        <v>1.0905</v>
      </c>
      <c r="K20" s="59">
        <v>1.0698000000000001</v>
      </c>
      <c r="L20" s="59">
        <v>1.0714999999999999</v>
      </c>
      <c r="M20" s="59">
        <v>1.0637000000000001</v>
      </c>
      <c r="N20" s="59">
        <v>1.0732999999999999</v>
      </c>
      <c r="O20" s="59">
        <v>1.1164000000000001</v>
      </c>
      <c r="P20" s="59">
        <v>1.1297999999999999</v>
      </c>
      <c r="Q20" s="59">
        <v>1.1616</v>
      </c>
      <c r="R20" s="59">
        <v>1.1186</v>
      </c>
      <c r="S20" s="59">
        <v>1.1368</v>
      </c>
      <c r="T20" s="59">
        <v>0.94140000000000001</v>
      </c>
      <c r="U20" s="59">
        <v>0.92030000000000001</v>
      </c>
      <c r="V20" s="60" t="s">
        <v>66</v>
      </c>
      <c r="W20" s="60" t="s">
        <v>60</v>
      </c>
      <c r="X20" s="76">
        <v>0.95399999999999996</v>
      </c>
      <c r="Y20" s="76">
        <v>0.96389999999999998</v>
      </c>
      <c r="Z20" s="76">
        <v>0.96950000000000003</v>
      </c>
      <c r="AA20" s="76">
        <v>0.94550000000000001</v>
      </c>
      <c r="AB20" s="76">
        <v>0.96540000000000004</v>
      </c>
    </row>
    <row r="21" spans="1:28" x14ac:dyDescent="0.2">
      <c r="A21" s="2"/>
      <c r="B21" s="49">
        <f t="shared" ref="B21:I21" si="4">+ROUNDUP((B19*B20),2)</f>
        <v>11.75</v>
      </c>
      <c r="C21" s="49">
        <f t="shared" si="4"/>
        <v>23.8</v>
      </c>
      <c r="D21" s="49">
        <f t="shared" si="4"/>
        <v>53.08</v>
      </c>
      <c r="E21" s="49">
        <f t="shared" si="4"/>
        <v>127.58</v>
      </c>
      <c r="F21" s="49">
        <f t="shared" si="4"/>
        <v>254.53</v>
      </c>
      <c r="G21" s="49">
        <f t="shared" si="4"/>
        <v>549.29999999999995</v>
      </c>
      <c r="H21" s="49">
        <f t="shared" si="4"/>
        <v>963.14</v>
      </c>
      <c r="I21" s="49">
        <f t="shared" si="4"/>
        <v>2029.46</v>
      </c>
      <c r="J21" s="50">
        <f>+TRUNC((J19*J20),0)</f>
        <v>648</v>
      </c>
      <c r="K21" s="50">
        <f>+TRUNC((K19*K20),0)</f>
        <v>1368</v>
      </c>
      <c r="L21" s="50">
        <f>+TRUNC((L19*L20),0)</f>
        <v>182</v>
      </c>
      <c r="M21" s="50">
        <f>+TRUNC((M19*M20),0)</f>
        <v>406</v>
      </c>
      <c r="N21" s="49">
        <f>+TRUNC((N19*N20),2)</f>
        <v>57.42</v>
      </c>
      <c r="O21" s="49">
        <f>+TRUNC((O19*O20),2)</f>
        <v>17.079999999999998</v>
      </c>
      <c r="P21" s="49">
        <f>+TRUNC((P19*P20),2)</f>
        <v>57.21</v>
      </c>
      <c r="Q21" s="49">
        <f>+TRUNC((Q19*Q20),2)</f>
        <v>53.02</v>
      </c>
      <c r="R21" s="49">
        <f>+TRUNC((R19*R20),2)</f>
        <v>18.170000000000002</v>
      </c>
      <c r="S21" s="49">
        <f>+ROUNDUP((S19*S20),2)</f>
        <v>13.85</v>
      </c>
      <c r="T21" s="49">
        <f>+ROUNDUP((T19*T20),2)</f>
        <v>64.45</v>
      </c>
      <c r="U21" s="49">
        <f>+ROUNDUP((U19*U20),2)</f>
        <v>274.70999999999998</v>
      </c>
      <c r="V21" s="56" t="s">
        <v>67</v>
      </c>
      <c r="W21" s="56" t="s">
        <v>61</v>
      </c>
      <c r="X21" s="81">
        <f t="shared" ref="X21:AB21" si="5">+ROUNDUP((X19*X20),2)</f>
        <v>13.5</v>
      </c>
      <c r="Y21" s="81">
        <f t="shared" si="5"/>
        <v>23.520000000000003</v>
      </c>
      <c r="Z21" s="81">
        <f t="shared" si="5"/>
        <v>48.87</v>
      </c>
      <c r="AA21" s="81">
        <f t="shared" si="5"/>
        <v>75.64</v>
      </c>
      <c r="AB21" s="81">
        <f t="shared" si="5"/>
        <v>162.19</v>
      </c>
    </row>
    <row r="22" spans="1:28" x14ac:dyDescent="0.2">
      <c r="A22" s="7"/>
      <c r="B22" s="51">
        <f>TRUNC(17.857*(21-B21)^1.81)</f>
        <v>1001</v>
      </c>
      <c r="C22" s="51">
        <f>TRUNC(4.99087*(42.5-C21)^1.81)</f>
        <v>1000</v>
      </c>
      <c r="D22" s="51">
        <f>TRUNC(1.34285*(91.7-D21)^1.81)</f>
        <v>1000</v>
      </c>
      <c r="E22" s="51">
        <f>TRUNC(0.11193*(254-E21)^1.88)</f>
        <v>1000</v>
      </c>
      <c r="F22" s="51">
        <f>TRUNC(0.06039*(430-F21)^1.88)</f>
        <v>1000</v>
      </c>
      <c r="G22" s="51">
        <f>TRUNC(0.01409*(930-G21)^1.88)</f>
        <v>1000</v>
      </c>
      <c r="H22" s="51">
        <f>TRUNC(0.00491*(1630-H21)^1.88)</f>
        <v>1000</v>
      </c>
      <c r="I22" s="51">
        <f>TRUNC(0.00111*(3500-I21)^1.88)</f>
        <v>1000</v>
      </c>
      <c r="J22" s="51">
        <f>TRUNC(0.188807*(J21-210)^1.41)</f>
        <v>1001</v>
      </c>
      <c r="K22" s="51">
        <f>TRUNC(0.08559*(K21-600)^1.41)</f>
        <v>1001</v>
      </c>
      <c r="L22" s="51">
        <f>TRUNC(1.84523*(L21-75)^1.348)</f>
        <v>1003</v>
      </c>
      <c r="M22" s="51">
        <f>TRUNC(0.44125*(M21-100)^1.35)</f>
        <v>1000</v>
      </c>
      <c r="N22" s="51">
        <f>TRUNC(12.3311*(N21-3)^1.1)</f>
        <v>1000</v>
      </c>
      <c r="O22" s="51">
        <f>TRUNC(56.0211*(O21-1.5)^1.05)</f>
        <v>1001</v>
      </c>
      <c r="P22" s="51">
        <f>TRUNC(15.9803*(P21-3.8)^1.04)</f>
        <v>1000</v>
      </c>
      <c r="Q22" s="51">
        <f>TRUNC(17.5458*(Q21-6)^1.05)</f>
        <v>1000</v>
      </c>
      <c r="R22" s="51">
        <f>TRUNC(52.1403*(R21-1.5)^1.05)</f>
        <v>1000</v>
      </c>
      <c r="S22" s="51">
        <f>TRUNC(9.23076*(26.7-S21)^1.835)</f>
        <v>1000</v>
      </c>
      <c r="T22" s="51">
        <f>TRUNC(1.348*(103-T21)^1.81)</f>
        <v>1000</v>
      </c>
      <c r="U22" s="51">
        <f>TRUNC(0.02883*(535-U21)^1.88)</f>
        <v>1002</v>
      </c>
      <c r="V22" s="57" t="s">
        <v>68</v>
      </c>
      <c r="W22" s="57" t="s">
        <v>62</v>
      </c>
      <c r="X22" s="82">
        <v>1000</v>
      </c>
      <c r="Y22" s="82">
        <v>1000</v>
      </c>
      <c r="Z22" s="82">
        <v>1000</v>
      </c>
      <c r="AA22" s="82">
        <v>1000</v>
      </c>
      <c r="AB22" s="82">
        <v>1000</v>
      </c>
    </row>
    <row r="23" spans="1:28" x14ac:dyDescent="0.2">
      <c r="A23" s="5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52"/>
      <c r="T23" s="48"/>
      <c r="U23" s="48"/>
      <c r="V23" s="38"/>
      <c r="W23" s="38"/>
      <c r="X23" s="83"/>
      <c r="Y23" s="83"/>
      <c r="Z23" s="83"/>
      <c r="AA23" s="83"/>
      <c r="AB23" s="83"/>
    </row>
    <row r="24" spans="1:28" x14ac:dyDescent="0.2">
      <c r="A24" s="4">
        <v>45</v>
      </c>
      <c r="B24" s="45">
        <v>12.44</v>
      </c>
      <c r="C24" s="46">
        <v>25.28</v>
      </c>
      <c r="D24" s="45">
        <v>58.42</v>
      </c>
      <c r="E24" s="46">
        <v>138.80000000000001</v>
      </c>
      <c r="F24" s="45">
        <v>280.60000000000002</v>
      </c>
      <c r="G24" s="45">
        <v>587</v>
      </c>
      <c r="H24" s="45">
        <v>1042</v>
      </c>
      <c r="I24" s="45">
        <v>2217</v>
      </c>
      <c r="J24" s="47">
        <v>562</v>
      </c>
      <c r="K24" s="45">
        <v>1200</v>
      </c>
      <c r="L24" s="47">
        <v>162</v>
      </c>
      <c r="M24" s="45">
        <v>360</v>
      </c>
      <c r="N24" s="46">
        <v>48.76</v>
      </c>
      <c r="O24" s="46">
        <v>14.16</v>
      </c>
      <c r="P24" s="46">
        <v>45.8</v>
      </c>
      <c r="Q24" s="46">
        <v>41.47</v>
      </c>
      <c r="R24" s="46">
        <v>14.99</v>
      </c>
      <c r="S24" s="46">
        <v>12.62</v>
      </c>
      <c r="T24" s="45">
        <v>71.08</v>
      </c>
      <c r="U24" s="45">
        <v>313.7</v>
      </c>
      <c r="V24" s="55" t="s">
        <v>65</v>
      </c>
      <c r="W24" s="55" t="s">
        <v>59</v>
      </c>
      <c r="X24" s="80">
        <v>14.55</v>
      </c>
      <c r="Y24" s="80">
        <v>25.5</v>
      </c>
      <c r="Z24" s="80">
        <v>53.1</v>
      </c>
      <c r="AA24" s="80">
        <v>84</v>
      </c>
      <c r="AB24" s="80">
        <v>178</v>
      </c>
    </row>
    <row r="25" spans="1:28" x14ac:dyDescent="0.2">
      <c r="A25" s="2"/>
      <c r="B25" s="59">
        <v>0.94410000000000005</v>
      </c>
      <c r="C25" s="59">
        <v>0.94110000000000005</v>
      </c>
      <c r="D25" s="59">
        <v>0.90839999999999999</v>
      </c>
      <c r="E25" s="59">
        <v>0.91920000000000002</v>
      </c>
      <c r="F25" s="59">
        <v>0.90690000000000004</v>
      </c>
      <c r="G25" s="59">
        <v>0.9355</v>
      </c>
      <c r="H25" s="59">
        <v>0.92390000000000005</v>
      </c>
      <c r="I25" s="59">
        <v>0.91520000000000001</v>
      </c>
      <c r="J25" s="59">
        <v>1.1536999999999999</v>
      </c>
      <c r="K25" s="59">
        <v>1.1407</v>
      </c>
      <c r="L25" s="59">
        <v>1.1254999999999999</v>
      </c>
      <c r="M25" s="59">
        <v>1.1306</v>
      </c>
      <c r="N25" s="59">
        <v>1.1772</v>
      </c>
      <c r="O25" s="59">
        <v>1.2061999999999999</v>
      </c>
      <c r="P25" s="59">
        <v>1.2495000000000001</v>
      </c>
      <c r="Q25" s="59">
        <v>1.2786999999999999</v>
      </c>
      <c r="R25" s="59">
        <v>1.2125999999999999</v>
      </c>
      <c r="S25" s="59">
        <v>1.0971</v>
      </c>
      <c r="T25" s="59">
        <v>0.90680000000000005</v>
      </c>
      <c r="U25" s="59">
        <v>0.87639999999999996</v>
      </c>
      <c r="V25" s="60" t="s">
        <v>66</v>
      </c>
      <c r="W25" s="60" t="s">
        <v>60</v>
      </c>
      <c r="X25" s="76">
        <v>0.91149999999999998</v>
      </c>
      <c r="Y25" s="76">
        <v>0.92720000000000002</v>
      </c>
      <c r="Z25" s="76">
        <v>0.93100000000000005</v>
      </c>
      <c r="AA25" s="76">
        <v>0.90900000000000003</v>
      </c>
      <c r="AB25" s="76">
        <v>0.92979999999999996</v>
      </c>
    </row>
    <row r="26" spans="1:28" x14ac:dyDescent="0.2">
      <c r="A26" s="2"/>
      <c r="B26" s="49">
        <f>+ROUNDUP((B24*B25),2)</f>
        <v>11.75</v>
      </c>
      <c r="C26" s="49">
        <f>+ROUNDUP((C24*C25),2)</f>
        <v>23.8</v>
      </c>
      <c r="D26" s="49">
        <f>+ROUNDUP((D24*D25),2)</f>
        <v>53.07</v>
      </c>
      <c r="E26" s="49">
        <f>+ROUNDUP((E24*E25),2)</f>
        <v>127.59</v>
      </c>
      <c r="F26" s="49">
        <f t="shared" ref="F26" si="6">+ROUNDUP((F24*F25),2)</f>
        <v>254.48</v>
      </c>
      <c r="G26" s="49">
        <f>+ROUNDUP((G24*G25),2)</f>
        <v>549.14</v>
      </c>
      <c r="H26" s="49">
        <f>+ROUNDUP((H24*H25),2)</f>
        <v>962.71</v>
      </c>
      <c r="I26" s="49">
        <f>+ROUNDUP((I24*I25),2)</f>
        <v>2029</v>
      </c>
      <c r="J26" s="50">
        <f>+TRUNC((J24*J25),0)</f>
        <v>648</v>
      </c>
      <c r="K26" s="50">
        <f>+TRUNC((K24*K25),0)</f>
        <v>1368</v>
      </c>
      <c r="L26" s="50">
        <f>+TRUNC((L24*L25),0)</f>
        <v>182</v>
      </c>
      <c r="M26" s="50">
        <f>+TRUNC((M24*M25),0)</f>
        <v>407</v>
      </c>
      <c r="N26" s="49">
        <f>+TRUNC((N24*N25),2)</f>
        <v>57.4</v>
      </c>
      <c r="O26" s="49">
        <f>+TRUNC((O24*O25),2)</f>
        <v>17.07</v>
      </c>
      <c r="P26" s="49">
        <f>+TRUNC((P24*P25),2)</f>
        <v>57.22</v>
      </c>
      <c r="Q26" s="49">
        <f>+TRUNC((Q24*Q25),2)</f>
        <v>53.02</v>
      </c>
      <c r="R26" s="49">
        <f>+TRUNC((R24*R25),2)</f>
        <v>18.170000000000002</v>
      </c>
      <c r="S26" s="49">
        <f>+ROUNDUP((S24*S25),2)</f>
        <v>13.85</v>
      </c>
      <c r="T26" s="49">
        <f>+ROUNDUP((T24*T25),2)</f>
        <v>64.460000000000008</v>
      </c>
      <c r="U26" s="49">
        <f>+ROUNDUP((U24*U25),2)</f>
        <v>274.93</v>
      </c>
      <c r="V26" s="56" t="s">
        <v>67</v>
      </c>
      <c r="W26" s="56" t="s">
        <v>61</v>
      </c>
      <c r="X26" s="81">
        <f t="shared" ref="X26:AB26" si="7">+ROUNDUP((X24*X25),2)</f>
        <v>13.27</v>
      </c>
      <c r="Y26" s="81">
        <f t="shared" si="7"/>
        <v>23.650000000000002</v>
      </c>
      <c r="Z26" s="81">
        <f t="shared" si="7"/>
        <v>49.44</v>
      </c>
      <c r="AA26" s="81">
        <f t="shared" si="7"/>
        <v>76.36</v>
      </c>
      <c r="AB26" s="81">
        <f t="shared" si="7"/>
        <v>165.51</v>
      </c>
    </row>
    <row r="27" spans="1:28" x14ac:dyDescent="0.2">
      <c r="A27" s="1"/>
      <c r="B27" s="51">
        <f>TRUNC(17.857*(21-B26)^1.81)</f>
        <v>1001</v>
      </c>
      <c r="C27" s="51">
        <f>TRUNC(4.99087*(42.5-C26)^1.81)</f>
        <v>1000</v>
      </c>
      <c r="D27" s="51">
        <f>TRUNC(1.34285*(91.7-D26)^1.81)</f>
        <v>1000</v>
      </c>
      <c r="E27" s="51">
        <f>TRUNC(0.11193*(254-E26)^1.88)</f>
        <v>1000</v>
      </c>
      <c r="F27" s="51">
        <f>TRUNC(0.06039*(430-F26)^1.88)</f>
        <v>1000</v>
      </c>
      <c r="G27" s="51">
        <f>TRUNC(0.01409*(930-G26)^1.88)</f>
        <v>1001</v>
      </c>
      <c r="H27" s="51">
        <f>TRUNC(0.00491*(1630-H26)^1.88)</f>
        <v>1001</v>
      </c>
      <c r="I27" s="51">
        <f>TRUNC(0.00111*(3500-I26)^1.88)</f>
        <v>1001</v>
      </c>
      <c r="J27" s="51">
        <f>TRUNC(0.188807*(J26-210)^1.41)</f>
        <v>1001</v>
      </c>
      <c r="K27" s="51">
        <f>TRUNC(0.08559*(K26-600)^1.41)</f>
        <v>1001</v>
      </c>
      <c r="L27" s="51">
        <f>TRUNC(1.84523*(L26-75)^1.348)</f>
        <v>1003</v>
      </c>
      <c r="M27" s="51">
        <f>TRUNC(0.44125*(M26-100)^1.35)</f>
        <v>1005</v>
      </c>
      <c r="N27" s="51">
        <f>TRUNC(12.3311*(N26-3)^1.1)</f>
        <v>1000</v>
      </c>
      <c r="O27" s="51">
        <f>TRUNC(56.0211*(O26-1.5)^1.05)</f>
        <v>1000</v>
      </c>
      <c r="P27" s="51">
        <f>TRUNC(15.9803*(P26-3.8)^1.04)</f>
        <v>1000</v>
      </c>
      <c r="Q27" s="51">
        <f>TRUNC(17.5458*(Q26-6)^1.05)</f>
        <v>1000</v>
      </c>
      <c r="R27" s="51">
        <f>TRUNC(52.1403*(R26-1.5)^1.05)</f>
        <v>1000</v>
      </c>
      <c r="S27" s="51">
        <f>TRUNC(9.23076*(26.7-S26)^1.835)</f>
        <v>1000</v>
      </c>
      <c r="T27" s="51">
        <f>TRUNC(1.348*(103-T26)^1.81)</f>
        <v>1000</v>
      </c>
      <c r="U27" s="51">
        <f>TRUNC(0.02883*(535-U26)^1.88)</f>
        <v>1000</v>
      </c>
      <c r="V27" s="57" t="s">
        <v>68</v>
      </c>
      <c r="W27" s="57" t="s">
        <v>62</v>
      </c>
      <c r="X27" s="82">
        <v>1000</v>
      </c>
      <c r="Y27" s="82">
        <v>1000</v>
      </c>
      <c r="Z27" s="82">
        <v>1000</v>
      </c>
      <c r="AA27" s="82">
        <v>1000</v>
      </c>
      <c r="AB27" s="82">
        <v>1000</v>
      </c>
    </row>
    <row r="28" spans="1:28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52"/>
      <c r="T28" s="48"/>
      <c r="U28" s="48"/>
      <c r="V28" s="38"/>
      <c r="W28" s="38"/>
      <c r="X28" s="83"/>
      <c r="Y28" s="83"/>
      <c r="Z28" s="83"/>
      <c r="AA28" s="83"/>
      <c r="AB28" s="83"/>
    </row>
    <row r="29" spans="1:28" x14ac:dyDescent="0.2">
      <c r="A29" s="4">
        <v>50</v>
      </c>
      <c r="B29" s="45">
        <v>12.94</v>
      </c>
      <c r="C29" s="46">
        <v>26.32</v>
      </c>
      <c r="D29" s="45">
        <v>60.92</v>
      </c>
      <c r="E29" s="46">
        <v>144.75</v>
      </c>
      <c r="F29" s="45">
        <v>292.60000000000002</v>
      </c>
      <c r="G29" s="45">
        <v>614.79999999999995</v>
      </c>
      <c r="H29" s="45">
        <v>1088</v>
      </c>
      <c r="I29" s="45">
        <v>2312</v>
      </c>
      <c r="J29" s="47">
        <v>530</v>
      </c>
      <c r="K29" s="45">
        <v>1124</v>
      </c>
      <c r="L29" s="47">
        <v>154</v>
      </c>
      <c r="M29" s="45">
        <v>338</v>
      </c>
      <c r="N29" s="46">
        <v>44.34</v>
      </c>
      <c r="O29" s="46">
        <v>15.07</v>
      </c>
      <c r="P29" s="46">
        <v>45.23</v>
      </c>
      <c r="Q29" s="46">
        <v>43.4</v>
      </c>
      <c r="R29" s="46">
        <v>15.74</v>
      </c>
      <c r="S29" s="46">
        <v>13.06</v>
      </c>
      <c r="T29" s="45">
        <v>55.4</v>
      </c>
      <c r="U29" s="45">
        <v>329.8</v>
      </c>
      <c r="V29" s="55" t="s">
        <v>65</v>
      </c>
      <c r="W29" s="55" t="s">
        <v>59</v>
      </c>
      <c r="X29" s="80">
        <v>15.4</v>
      </c>
      <c r="Y29" s="80">
        <v>27.05</v>
      </c>
      <c r="Z29" s="80">
        <v>55.4</v>
      </c>
      <c r="AA29" s="80">
        <v>88.3</v>
      </c>
      <c r="AB29" s="80">
        <v>183</v>
      </c>
    </row>
    <row r="30" spans="1:28" x14ac:dyDescent="0.2">
      <c r="A30" s="2"/>
      <c r="B30" s="59">
        <v>0.90800000000000003</v>
      </c>
      <c r="C30" s="59">
        <v>0.90400000000000003</v>
      </c>
      <c r="D30" s="59">
        <v>0.87109999999999999</v>
      </c>
      <c r="E30" s="59">
        <v>0.88139999999999996</v>
      </c>
      <c r="F30" s="59">
        <v>0.86970000000000003</v>
      </c>
      <c r="G30" s="59">
        <v>0.89349999999999996</v>
      </c>
      <c r="H30" s="59">
        <v>0.88470000000000004</v>
      </c>
      <c r="I30" s="59">
        <v>0.877</v>
      </c>
      <c r="J30" s="59">
        <v>1.2225999999999999</v>
      </c>
      <c r="K30" s="59">
        <v>1.2172000000000001</v>
      </c>
      <c r="L30" s="59">
        <v>1.1826000000000001</v>
      </c>
      <c r="M30" s="59">
        <v>1.2037</v>
      </c>
      <c r="N30" s="59">
        <v>1.2948999999999999</v>
      </c>
      <c r="O30" s="59">
        <v>1.133</v>
      </c>
      <c r="P30" s="59">
        <v>1.2649999999999999</v>
      </c>
      <c r="Q30" s="59">
        <v>1.2224999999999999</v>
      </c>
      <c r="R30" s="59">
        <v>1.1544000000000001</v>
      </c>
      <c r="S30" s="59">
        <v>1.0597000000000001</v>
      </c>
      <c r="T30" s="59">
        <v>1.1635</v>
      </c>
      <c r="U30" s="59">
        <v>0.83360000000000001</v>
      </c>
      <c r="V30" s="60" t="s">
        <v>66</v>
      </c>
      <c r="W30" s="60" t="s">
        <v>60</v>
      </c>
      <c r="X30" s="76">
        <v>0.86929999999999996</v>
      </c>
      <c r="Y30" s="76">
        <v>0.88919999999999999</v>
      </c>
      <c r="Z30" s="76">
        <v>0.89129999999999998</v>
      </c>
      <c r="AA30" s="76">
        <v>0.87060000000000004</v>
      </c>
      <c r="AB30" s="76">
        <v>0.89149999999999996</v>
      </c>
    </row>
    <row r="31" spans="1:28" x14ac:dyDescent="0.2">
      <c r="A31" s="2"/>
      <c r="B31" s="49">
        <f>+ROUNDUP((B29*B30),2)</f>
        <v>11.75</v>
      </c>
      <c r="C31" s="49">
        <f>+ROUNDUP((C29*C30),2)</f>
        <v>23.8</v>
      </c>
      <c r="D31" s="49">
        <f>+ROUNDUP((D29*D30),2)</f>
        <v>53.07</v>
      </c>
      <c r="E31" s="49">
        <f>+ROUNDUP((E29*E30),2)</f>
        <v>127.59</v>
      </c>
      <c r="F31" s="49">
        <f t="shared" ref="F31" si="8">+ROUNDUP((F29*F30),2)</f>
        <v>254.48</v>
      </c>
      <c r="G31" s="49">
        <f>+ROUNDUP((G29*G30),2)</f>
        <v>549.33000000000004</v>
      </c>
      <c r="H31" s="49">
        <f>+ROUNDUP((H29*H30),2)</f>
        <v>962.56</v>
      </c>
      <c r="I31" s="49">
        <f>+ROUNDUP((I29*I30),2)</f>
        <v>2027.6299999999999</v>
      </c>
      <c r="J31" s="50">
        <f>+TRUNC((J29*J30),0)</f>
        <v>647</v>
      </c>
      <c r="K31" s="50">
        <f>+TRUNC((K29*K30),0)</f>
        <v>1368</v>
      </c>
      <c r="L31" s="50">
        <f>+TRUNC((L29*L30),0)</f>
        <v>182</v>
      </c>
      <c r="M31" s="50">
        <f>+TRUNC((M29*M30),0)</f>
        <v>406</v>
      </c>
      <c r="N31" s="49">
        <f>+TRUNC((N29*N30),2)</f>
        <v>57.41</v>
      </c>
      <c r="O31" s="49">
        <f>+TRUNC((O29*O30),2)</f>
        <v>17.07</v>
      </c>
      <c r="P31" s="49">
        <f>+TRUNC((P29*P30),2)</f>
        <v>57.21</v>
      </c>
      <c r="Q31" s="49">
        <f>+TRUNC((Q29*Q30),2)</f>
        <v>53.05</v>
      </c>
      <c r="R31" s="49">
        <f>+TRUNC((R29*R30),2)</f>
        <v>18.170000000000002</v>
      </c>
      <c r="S31" s="49">
        <f>+ROUNDUP((S29*S30),2)</f>
        <v>13.84</v>
      </c>
      <c r="T31" s="49">
        <f>+ROUNDUP((T29*T30),2)</f>
        <v>64.460000000000008</v>
      </c>
      <c r="U31" s="49">
        <f>+ROUNDUP((U29*U30),2)</f>
        <v>274.93</v>
      </c>
      <c r="V31" s="56" t="s">
        <v>67</v>
      </c>
      <c r="W31" s="56" t="s">
        <v>61</v>
      </c>
      <c r="X31" s="81">
        <f t="shared" ref="X31:AB31" si="9">+ROUNDUP((X29*X30),2)</f>
        <v>13.39</v>
      </c>
      <c r="Y31" s="81">
        <f t="shared" si="9"/>
        <v>24.060000000000002</v>
      </c>
      <c r="Z31" s="81">
        <f t="shared" si="9"/>
        <v>49.379999999999995</v>
      </c>
      <c r="AA31" s="81">
        <f t="shared" si="9"/>
        <v>76.88000000000001</v>
      </c>
      <c r="AB31" s="81">
        <f t="shared" si="9"/>
        <v>163.14999999999998</v>
      </c>
    </row>
    <row r="32" spans="1:28" x14ac:dyDescent="0.2">
      <c r="A32" s="1"/>
      <c r="B32" s="51">
        <f>TRUNC(17.857*(21-B31)^1.81)</f>
        <v>1001</v>
      </c>
      <c r="C32" s="51">
        <f>TRUNC(4.99087*(42.5-C31)^1.81)</f>
        <v>1000</v>
      </c>
      <c r="D32" s="51">
        <f>TRUNC(1.34285*(91.7-D31)^1.81)</f>
        <v>1000</v>
      </c>
      <c r="E32" s="51">
        <f>TRUNC(0.11193*(254-E31)^1.88)</f>
        <v>1000</v>
      </c>
      <c r="F32" s="51">
        <f>TRUNC(0.06039*(430-F31)^1.88)</f>
        <v>1000</v>
      </c>
      <c r="G32" s="51">
        <f>TRUNC(0.01409*(930-G31)^1.88)</f>
        <v>1000</v>
      </c>
      <c r="H32" s="51">
        <f>TRUNC(0.00491*(1630-H31)^1.88)</f>
        <v>1002</v>
      </c>
      <c r="I32" s="51">
        <f>TRUNC(0.00111*(3500-I31)^1.88)</f>
        <v>1002</v>
      </c>
      <c r="J32" s="51">
        <f>TRUNC(0.188807*(J31-210)^1.41)</f>
        <v>997</v>
      </c>
      <c r="K32" s="51">
        <f>TRUNC(0.08559*(K31-600)^1.41)</f>
        <v>1001</v>
      </c>
      <c r="L32" s="51">
        <f>TRUNC(1.84523*(L31-75)^1.348)</f>
        <v>1003</v>
      </c>
      <c r="M32" s="51">
        <f>TRUNC(0.44125*(M31-100)^1.35)</f>
        <v>1000</v>
      </c>
      <c r="N32" s="51">
        <f>TRUNC(12.3311*(N31-3)^1.1)</f>
        <v>1000</v>
      </c>
      <c r="O32" s="51">
        <f>TRUNC(56.0211*(O31-1.5)^1.05)</f>
        <v>1000</v>
      </c>
      <c r="P32" s="51">
        <f>TRUNC(15.9803*(P31-3.8)^1.04)</f>
        <v>1000</v>
      </c>
      <c r="Q32" s="51">
        <f>TRUNC(17.5458*(Q31-6)^1.05)</f>
        <v>1000</v>
      </c>
      <c r="R32" s="51">
        <f>TRUNC(52.1403*(R31-1.5)^1.05)</f>
        <v>1000</v>
      </c>
      <c r="S32" s="51">
        <f>TRUNC(9.23076*(26.7-S31)^1.835)</f>
        <v>1001</v>
      </c>
      <c r="T32" s="51">
        <f>TRUNC(1.348*(103-T31)^1.81)</f>
        <v>1000</v>
      </c>
      <c r="U32" s="51">
        <f>TRUNC(0.02883*(535-U31)^1.88)</f>
        <v>1000</v>
      </c>
      <c r="V32" s="57" t="s">
        <v>68</v>
      </c>
      <c r="W32" s="57" t="s">
        <v>62</v>
      </c>
      <c r="X32" s="82">
        <v>1000</v>
      </c>
      <c r="Y32" s="82">
        <v>1000</v>
      </c>
      <c r="Z32" s="82">
        <v>1000</v>
      </c>
      <c r="AA32" s="82">
        <v>1000</v>
      </c>
      <c r="AB32" s="82">
        <v>1000</v>
      </c>
    </row>
    <row r="33" spans="1:28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52"/>
      <c r="T33" s="48"/>
      <c r="U33" s="48"/>
      <c r="V33" s="38"/>
      <c r="W33" s="38"/>
      <c r="X33" s="83"/>
      <c r="Y33" s="83"/>
      <c r="Z33" s="83"/>
      <c r="AA33" s="83"/>
      <c r="AB33" s="83"/>
    </row>
    <row r="34" spans="1:28" x14ac:dyDescent="0.2">
      <c r="A34" s="4">
        <v>55</v>
      </c>
      <c r="B34" s="45">
        <v>13.46</v>
      </c>
      <c r="C34" s="46">
        <v>27.43</v>
      </c>
      <c r="D34" s="45">
        <v>63.75</v>
      </c>
      <c r="E34" s="46">
        <v>151.30000000000001</v>
      </c>
      <c r="F34" s="45">
        <v>300</v>
      </c>
      <c r="G34" s="45">
        <v>645.70000000000005</v>
      </c>
      <c r="H34" s="45">
        <v>1141</v>
      </c>
      <c r="I34" s="45">
        <v>2424</v>
      </c>
      <c r="J34" s="47">
        <v>499</v>
      </c>
      <c r="K34" s="45">
        <v>1053</v>
      </c>
      <c r="L34" s="47">
        <v>147</v>
      </c>
      <c r="M34" s="45">
        <v>316</v>
      </c>
      <c r="N34" s="46">
        <v>40.15</v>
      </c>
      <c r="O34" s="46">
        <v>13.83</v>
      </c>
      <c r="P34" s="46">
        <v>40.630000000000003</v>
      </c>
      <c r="Q34" s="46">
        <v>39.15</v>
      </c>
      <c r="R34" s="46">
        <v>14.39</v>
      </c>
      <c r="S34" s="46">
        <v>13.59</v>
      </c>
      <c r="T34" s="45">
        <v>57.67</v>
      </c>
      <c r="U34" s="45">
        <v>347.2</v>
      </c>
      <c r="V34" s="55" t="s">
        <v>65</v>
      </c>
      <c r="W34" s="55" t="s">
        <v>59</v>
      </c>
      <c r="X34" s="80">
        <v>16.3</v>
      </c>
      <c r="Y34" s="80">
        <v>28.25</v>
      </c>
      <c r="Z34" s="80">
        <v>58.3</v>
      </c>
      <c r="AA34" s="80">
        <v>93</v>
      </c>
      <c r="AB34" s="80">
        <v>201</v>
      </c>
    </row>
    <row r="35" spans="1:28" x14ac:dyDescent="0.2">
      <c r="A35" s="2"/>
      <c r="B35" s="59">
        <v>0.87260000000000004</v>
      </c>
      <c r="C35" s="59">
        <v>0.86729999999999996</v>
      </c>
      <c r="D35" s="59">
        <v>0.83240000000000003</v>
      </c>
      <c r="E35" s="59">
        <v>0.84319999999999995</v>
      </c>
      <c r="F35" s="59">
        <v>0.83240000000000003</v>
      </c>
      <c r="G35" s="59">
        <v>0.85089999999999999</v>
      </c>
      <c r="H35" s="59">
        <v>0.84379999999999999</v>
      </c>
      <c r="I35" s="59">
        <v>0.83730000000000004</v>
      </c>
      <c r="J35" s="59">
        <v>1.2982</v>
      </c>
      <c r="K35" s="59">
        <v>1.3</v>
      </c>
      <c r="L35" s="59">
        <v>1.2430000000000001</v>
      </c>
      <c r="M35" s="59">
        <v>1.284</v>
      </c>
      <c r="N35" s="59">
        <v>1.43</v>
      </c>
      <c r="O35" s="59">
        <v>1.2346999999999999</v>
      </c>
      <c r="P35" s="59">
        <v>1.4077</v>
      </c>
      <c r="Q35" s="59">
        <v>1.3551</v>
      </c>
      <c r="R35" s="59">
        <v>1.2633000000000001</v>
      </c>
      <c r="S35" s="59">
        <v>1.0187999999999999</v>
      </c>
      <c r="T35" s="59">
        <v>1.1173999999999999</v>
      </c>
      <c r="U35" s="59">
        <v>0.79200000000000004</v>
      </c>
      <c r="V35" s="60" t="s">
        <v>66</v>
      </c>
      <c r="W35" s="60" t="s">
        <v>60</v>
      </c>
      <c r="X35" s="76">
        <v>0.82720000000000005</v>
      </c>
      <c r="Y35" s="76">
        <v>0.85</v>
      </c>
      <c r="Z35" s="76">
        <v>0.85050000000000003</v>
      </c>
      <c r="AA35" s="76">
        <v>0.8306</v>
      </c>
      <c r="AB35" s="76">
        <v>0.85060000000000002</v>
      </c>
    </row>
    <row r="36" spans="1:28" x14ac:dyDescent="0.2">
      <c r="A36" s="2"/>
      <c r="B36" s="49">
        <f>+ROUNDUP((B34*B35),2)</f>
        <v>11.75</v>
      </c>
      <c r="C36" s="49">
        <f>+ROUNDUP((C34*C35),2)</f>
        <v>23.8</v>
      </c>
      <c r="D36" s="49">
        <f>+ROUNDUP((D34*D35),2)</f>
        <v>53.07</v>
      </c>
      <c r="E36" s="49">
        <f>+ROUNDUP((E34*E35),2)</f>
        <v>127.58</v>
      </c>
      <c r="F36" s="49">
        <f t="shared" ref="F36" si="10">+ROUNDUP((F34*F35),2)</f>
        <v>249.72</v>
      </c>
      <c r="G36" s="49">
        <f>+ROUNDUP((G34*G35),2)</f>
        <v>549.42999999999995</v>
      </c>
      <c r="H36" s="49">
        <f>+ROUNDUP((H34*H35),2)</f>
        <v>962.78</v>
      </c>
      <c r="I36" s="49">
        <f>+ROUNDUP((I34*I35),2)</f>
        <v>2029.62</v>
      </c>
      <c r="J36" s="50">
        <f>+TRUNC((J34*J35),0)</f>
        <v>647</v>
      </c>
      <c r="K36" s="50">
        <f>+TRUNC((K34*K35),0)</f>
        <v>1368</v>
      </c>
      <c r="L36" s="50">
        <f>+TRUNC((L34*L35),0)</f>
        <v>182</v>
      </c>
      <c r="M36" s="50">
        <f>+TRUNC((M34*M35),0)</f>
        <v>405</v>
      </c>
      <c r="N36" s="49">
        <f>+TRUNC((N34*N35),2)</f>
        <v>57.41</v>
      </c>
      <c r="O36" s="49">
        <f>+TRUNC((O34*O35),2)</f>
        <v>17.07</v>
      </c>
      <c r="P36" s="49">
        <f>+TRUNC((P34*P35),2)</f>
        <v>57.19</v>
      </c>
      <c r="Q36" s="49">
        <f>+TRUNC((Q34*Q35),2)</f>
        <v>53.05</v>
      </c>
      <c r="R36" s="49">
        <f>+TRUNC((R34*R35),2)</f>
        <v>18.170000000000002</v>
      </c>
      <c r="S36" s="49">
        <f>+ROUNDUP((S34*S35),2)</f>
        <v>13.85</v>
      </c>
      <c r="T36" s="49">
        <f>+ROUNDUP((T34*T35),2)</f>
        <v>64.45</v>
      </c>
      <c r="U36" s="49">
        <f>+ROUNDUP((U34*U35),2)</f>
        <v>274.99</v>
      </c>
      <c r="V36" s="56" t="s">
        <v>67</v>
      </c>
      <c r="W36" s="56" t="s">
        <v>61</v>
      </c>
      <c r="X36" s="81">
        <f t="shared" ref="X36:AB36" si="11">+ROUNDUP((X34*X35),2)</f>
        <v>13.49</v>
      </c>
      <c r="Y36" s="81">
        <f t="shared" si="11"/>
        <v>24.020000000000003</v>
      </c>
      <c r="Z36" s="81">
        <f t="shared" si="11"/>
        <v>49.589999999999996</v>
      </c>
      <c r="AA36" s="81">
        <f t="shared" si="11"/>
        <v>77.25</v>
      </c>
      <c r="AB36" s="81">
        <f t="shared" si="11"/>
        <v>170.98</v>
      </c>
    </row>
    <row r="37" spans="1:28" x14ac:dyDescent="0.2">
      <c r="A37" s="1"/>
      <c r="B37" s="51">
        <f>TRUNC(17.857*(21-B36)^1.81)</f>
        <v>1001</v>
      </c>
      <c r="C37" s="51">
        <f>TRUNC(4.99087*(42.5-C36)^1.81)</f>
        <v>1000</v>
      </c>
      <c r="D37" s="51">
        <f>TRUNC(1.34285*(91.7-D36)^1.81)</f>
        <v>1000</v>
      </c>
      <c r="E37" s="51">
        <f>TRUNC(0.11193*(254-E36)^1.88)</f>
        <v>1000</v>
      </c>
      <c r="F37" s="51">
        <f>TRUNC(0.06039*(430-F36)^1.88)</f>
        <v>1052</v>
      </c>
      <c r="G37" s="51">
        <f>TRUNC(0.01409*(930-G36)^1.88)</f>
        <v>1000</v>
      </c>
      <c r="H37" s="51">
        <f>TRUNC(0.00491*(1630-H36)^1.88)</f>
        <v>1001</v>
      </c>
      <c r="I37" s="51">
        <f>TRUNC(0.00111*(3500-I36)^1.88)</f>
        <v>1000</v>
      </c>
      <c r="J37" s="51">
        <f>TRUNC(0.188807*(J36-210)^1.41)</f>
        <v>997</v>
      </c>
      <c r="K37" s="51">
        <f>TRUNC(0.08559*(K36-600)^1.41)</f>
        <v>1001</v>
      </c>
      <c r="L37" s="51">
        <f>TRUNC(1.84523*(L36-75)^1.348)</f>
        <v>1003</v>
      </c>
      <c r="M37" s="51">
        <f>TRUNC(0.44125*(M36-100)^1.35)</f>
        <v>996</v>
      </c>
      <c r="N37" s="51">
        <f>TRUNC(12.3311*(N36-3)^1.1)</f>
        <v>1000</v>
      </c>
      <c r="O37" s="51">
        <f>TRUNC(56.0211*(O36-1.5)^1.05)</f>
        <v>1000</v>
      </c>
      <c r="P37" s="51">
        <f>TRUNC(15.9803*(P36-3.8)^1.04)</f>
        <v>1000</v>
      </c>
      <c r="Q37" s="51">
        <f>TRUNC(17.5458*(Q36-6)^1.05)</f>
        <v>1000</v>
      </c>
      <c r="R37" s="51">
        <f>TRUNC(52.1403*(R36-1.5)^1.05)</f>
        <v>1000</v>
      </c>
      <c r="S37" s="51">
        <f>TRUNC(9.23076*(26.7-S36)^1.835)</f>
        <v>1000</v>
      </c>
      <c r="T37" s="51">
        <f>TRUNC(1.348*(103-T36)^1.81)</f>
        <v>1000</v>
      </c>
      <c r="U37" s="51">
        <f>TRUNC(0.02883*(535-U36)^1.88)</f>
        <v>1000</v>
      </c>
      <c r="V37" s="57" t="s">
        <v>68</v>
      </c>
      <c r="W37" s="57" t="s">
        <v>62</v>
      </c>
      <c r="X37" s="82">
        <v>1000</v>
      </c>
      <c r="Y37" s="82">
        <v>1000</v>
      </c>
      <c r="Z37" s="82">
        <v>1000</v>
      </c>
      <c r="AA37" s="82">
        <v>1000</v>
      </c>
      <c r="AB37" s="82">
        <v>1000</v>
      </c>
    </row>
    <row r="38" spans="1:28" x14ac:dyDescent="0.2">
      <c r="A38" t="s">
        <v>0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52"/>
      <c r="T38" s="48"/>
      <c r="U38" s="48"/>
      <c r="V38" s="38"/>
      <c r="W38" s="38"/>
      <c r="X38" s="83"/>
      <c r="Y38" s="83"/>
      <c r="Z38" s="83"/>
      <c r="AA38" s="83"/>
      <c r="AB38" s="83"/>
    </row>
    <row r="39" spans="1:28" x14ac:dyDescent="0.2">
      <c r="A39" s="4">
        <v>60</v>
      </c>
      <c r="B39" s="45">
        <v>14.02</v>
      </c>
      <c r="C39" s="46">
        <v>28.64</v>
      </c>
      <c r="D39" s="45">
        <v>66.98</v>
      </c>
      <c r="E39" s="46">
        <v>158.6</v>
      </c>
      <c r="F39" s="45">
        <v>320.10000000000002</v>
      </c>
      <c r="G39" s="45">
        <v>680.2</v>
      </c>
      <c r="H39" s="45">
        <v>1201</v>
      </c>
      <c r="I39" s="45">
        <v>2549</v>
      </c>
      <c r="J39" s="47">
        <v>469</v>
      </c>
      <c r="K39" s="45">
        <v>985</v>
      </c>
      <c r="L39" s="47">
        <v>140</v>
      </c>
      <c r="M39" s="45">
        <v>296</v>
      </c>
      <c r="N39" s="46">
        <v>36.17</v>
      </c>
      <c r="O39" s="46">
        <v>12.62</v>
      </c>
      <c r="P39" s="46">
        <v>36.369999999999997</v>
      </c>
      <c r="Q39" s="46">
        <v>35.119999999999997</v>
      </c>
      <c r="R39" s="46">
        <v>15.52</v>
      </c>
      <c r="S39" s="46">
        <v>14.17</v>
      </c>
      <c r="T39" s="45">
        <v>60.17</v>
      </c>
      <c r="U39" s="45">
        <v>365.8</v>
      </c>
      <c r="V39" s="55" t="s">
        <v>65</v>
      </c>
      <c r="W39" s="55" t="s">
        <v>59</v>
      </c>
      <c r="X39" s="80">
        <v>17.3</v>
      </c>
      <c r="Y39" s="80">
        <v>30.05</v>
      </c>
      <c r="Z39" s="80">
        <v>62</v>
      </c>
      <c r="AA39" s="80">
        <v>99.3</v>
      </c>
      <c r="AB39" s="80">
        <v>215</v>
      </c>
    </row>
    <row r="40" spans="1:28" x14ac:dyDescent="0.2">
      <c r="A40" s="2"/>
      <c r="B40" s="59">
        <v>0.83789999999999998</v>
      </c>
      <c r="C40" s="59">
        <v>0.83089999999999997</v>
      </c>
      <c r="D40" s="59">
        <v>0.79239999999999999</v>
      </c>
      <c r="E40" s="59">
        <v>0.8044</v>
      </c>
      <c r="F40" s="59">
        <v>0.79510000000000003</v>
      </c>
      <c r="G40" s="59">
        <v>0.80759999999999998</v>
      </c>
      <c r="H40" s="59">
        <v>0.80149999999999999</v>
      </c>
      <c r="I40" s="59">
        <v>0.79610000000000003</v>
      </c>
      <c r="J40" s="59">
        <v>1.3814</v>
      </c>
      <c r="K40" s="59">
        <v>1.3895999999999999</v>
      </c>
      <c r="L40" s="59">
        <v>1.3070999999999999</v>
      </c>
      <c r="M40" s="59">
        <v>1.3728</v>
      </c>
      <c r="N40" s="59">
        <v>1.5872999999999999</v>
      </c>
      <c r="O40" s="59">
        <v>1.3533999999999999</v>
      </c>
      <c r="P40" s="59">
        <v>1.5731999999999999</v>
      </c>
      <c r="Q40" s="59">
        <v>1.5099</v>
      </c>
      <c r="R40" s="59">
        <v>1.1715</v>
      </c>
      <c r="S40" s="59">
        <v>0.97740000000000005</v>
      </c>
      <c r="T40" s="59">
        <v>1.0711999999999999</v>
      </c>
      <c r="U40" s="59">
        <v>0.75139999999999996</v>
      </c>
      <c r="V40" s="60" t="s">
        <v>66</v>
      </c>
      <c r="W40" s="60" t="s">
        <v>60</v>
      </c>
      <c r="X40" s="76">
        <v>0.7853</v>
      </c>
      <c r="Y40" s="76">
        <v>0.80969999999999998</v>
      </c>
      <c r="Z40" s="76">
        <v>0.80869999999999997</v>
      </c>
      <c r="AA40" s="76">
        <v>0.78890000000000005</v>
      </c>
      <c r="AB40" s="76">
        <v>0.80730000000000002</v>
      </c>
    </row>
    <row r="41" spans="1:28" x14ac:dyDescent="0.2">
      <c r="A41" s="2"/>
      <c r="B41" s="49">
        <f>+ROUNDUP((B39*B40),2)</f>
        <v>11.75</v>
      </c>
      <c r="C41" s="49">
        <f>+ROUNDUP((C39*C40),2)</f>
        <v>23.8</v>
      </c>
      <c r="D41" s="49">
        <f>+ROUNDUP((D39*D40),2)</f>
        <v>53.08</v>
      </c>
      <c r="E41" s="49">
        <f>+ROUNDUP((E39*E40),2)</f>
        <v>127.58</v>
      </c>
      <c r="F41" s="49">
        <f t="shared" ref="F41" si="12">+ROUNDUP((F39*F40),2)</f>
        <v>254.51999999999998</v>
      </c>
      <c r="G41" s="49">
        <f>+ROUNDUP((G39*G40),2)</f>
        <v>549.33000000000004</v>
      </c>
      <c r="H41" s="49">
        <f>+ROUNDUP((H39*H40),2)</f>
        <v>962.61</v>
      </c>
      <c r="I41" s="49">
        <f>+ROUNDUP((I39*I40),2)</f>
        <v>2029.26</v>
      </c>
      <c r="J41" s="50">
        <f>+TRUNC((J39*J40),0)</f>
        <v>647</v>
      </c>
      <c r="K41" s="50">
        <f>+TRUNC((K39*K40),0)</f>
        <v>1368</v>
      </c>
      <c r="L41" s="50">
        <f>+TRUNC((L39*L40),0)</f>
        <v>182</v>
      </c>
      <c r="M41" s="50">
        <f>+TRUNC((M39*M40),0)</f>
        <v>406</v>
      </c>
      <c r="N41" s="49">
        <f>+TRUNC((N39*N40),2)</f>
        <v>57.41</v>
      </c>
      <c r="O41" s="49">
        <f>+TRUNC((O39*O40),2)</f>
        <v>17.07</v>
      </c>
      <c r="P41" s="49">
        <f>+TRUNC((P39*P40),2)</f>
        <v>57.21</v>
      </c>
      <c r="Q41" s="49">
        <f>+TRUNC((Q39*Q40),2)</f>
        <v>53.02</v>
      </c>
      <c r="R41" s="49">
        <f>+TRUNC((R39*R40),2)</f>
        <v>18.18</v>
      </c>
      <c r="S41" s="49">
        <f>+ROUNDUP((S39*S40),2)</f>
        <v>13.85</v>
      </c>
      <c r="T41" s="49">
        <f>+ROUNDUP((T39*T40),2)</f>
        <v>64.460000000000008</v>
      </c>
      <c r="U41" s="49">
        <f>+ROUNDUP((U39*U40),2)</f>
        <v>274.87</v>
      </c>
      <c r="V41" s="56" t="s">
        <v>67</v>
      </c>
      <c r="W41" s="56" t="s">
        <v>61</v>
      </c>
      <c r="X41" s="81">
        <f t="shared" ref="X41:AB41" si="13">+ROUNDUP((X39*X40),2)</f>
        <v>13.59</v>
      </c>
      <c r="Y41" s="81">
        <f t="shared" si="13"/>
        <v>24.34</v>
      </c>
      <c r="Z41" s="81">
        <f t="shared" si="13"/>
        <v>50.14</v>
      </c>
      <c r="AA41" s="81">
        <f t="shared" si="13"/>
        <v>78.34</v>
      </c>
      <c r="AB41" s="81">
        <f t="shared" si="13"/>
        <v>173.57</v>
      </c>
    </row>
    <row r="42" spans="1:28" x14ac:dyDescent="0.2">
      <c r="A42" s="1"/>
      <c r="B42" s="51">
        <f>TRUNC(17.857*(21-B41)^1.81)</f>
        <v>1001</v>
      </c>
      <c r="C42" s="51">
        <f>TRUNC(4.99087*(42.5-C41)^1.81)</f>
        <v>1000</v>
      </c>
      <c r="D42" s="51">
        <f>TRUNC(1.34285*(91.7-D41)^1.81)</f>
        <v>1000</v>
      </c>
      <c r="E42" s="51">
        <f>TRUNC(0.11193*(254-E41)^1.88)</f>
        <v>1000</v>
      </c>
      <c r="F42" s="51">
        <f>TRUNC(0.06039*(430-F41)^1.88)</f>
        <v>1000</v>
      </c>
      <c r="G42" s="51">
        <f>TRUNC(0.01409*(930-G41)^1.88)</f>
        <v>1000</v>
      </c>
      <c r="H42" s="51">
        <f>TRUNC(0.00491*(1630-H41)^1.88)</f>
        <v>1002</v>
      </c>
      <c r="I42" s="51">
        <f>TRUNC(0.00111*(3500-I41)^1.88)</f>
        <v>1000</v>
      </c>
      <c r="J42" s="51">
        <f>TRUNC(0.188807*(J41-210)^1.41)</f>
        <v>997</v>
      </c>
      <c r="K42" s="51">
        <f>TRUNC(0.08559*(K41-600)^1.41)</f>
        <v>1001</v>
      </c>
      <c r="L42" s="51">
        <f>TRUNC(1.84523*(L41-75)^1.348)</f>
        <v>1003</v>
      </c>
      <c r="M42" s="51">
        <f>TRUNC(0.44125*(M41-100)^1.35)</f>
        <v>1000</v>
      </c>
      <c r="N42" s="51">
        <f>TRUNC(12.3311*(N41-3)^1.1)</f>
        <v>1000</v>
      </c>
      <c r="O42" s="51">
        <f>TRUNC(56.0211*(O41-1.5)^1.05)</f>
        <v>1000</v>
      </c>
      <c r="P42" s="51">
        <f>TRUNC(15.9803*(P41-3.8)^1.04)</f>
        <v>1000</v>
      </c>
      <c r="Q42" s="51">
        <f>TRUNC(17.5458*(Q41-6)^1.05)</f>
        <v>1000</v>
      </c>
      <c r="R42" s="51">
        <f>TRUNC(52.1403*(R41-1.5)^1.05)</f>
        <v>1001</v>
      </c>
      <c r="S42" s="51">
        <f>TRUNC(9.23076*(26.7-S41)^1.835)</f>
        <v>1000</v>
      </c>
      <c r="T42" s="51">
        <f>TRUNC(1.348*(103-T41)^1.81)</f>
        <v>1000</v>
      </c>
      <c r="U42" s="51">
        <f>TRUNC(0.02883*(535-U41)^1.88)</f>
        <v>1000</v>
      </c>
      <c r="V42" s="57" t="s">
        <v>68</v>
      </c>
      <c r="W42" s="57" t="s">
        <v>62</v>
      </c>
      <c r="X42" s="82">
        <v>1000</v>
      </c>
      <c r="Y42" s="82">
        <v>1000</v>
      </c>
      <c r="Z42" s="82">
        <v>1000</v>
      </c>
      <c r="AA42" s="82">
        <v>1000</v>
      </c>
      <c r="AB42" s="82">
        <v>1000</v>
      </c>
    </row>
    <row r="43" spans="1:28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53"/>
      <c r="T43" s="48"/>
      <c r="U43" s="48"/>
      <c r="V43" s="38"/>
      <c r="W43" s="38"/>
      <c r="X43" s="83"/>
      <c r="Y43" s="83"/>
      <c r="Z43" s="83"/>
      <c r="AA43" s="83"/>
      <c r="AB43" s="83"/>
    </row>
    <row r="44" spans="1:28" x14ac:dyDescent="0.2">
      <c r="A44" s="4">
        <v>65</v>
      </c>
      <c r="B44" s="45">
        <v>14.61</v>
      </c>
      <c r="C44" s="54">
        <v>29.93</v>
      </c>
      <c r="D44" s="45">
        <v>70.67</v>
      </c>
      <c r="E44" s="46">
        <v>166.75</v>
      </c>
      <c r="F44" s="45">
        <v>335.9</v>
      </c>
      <c r="G44" s="45">
        <v>719.4</v>
      </c>
      <c r="H44" s="45">
        <v>1271</v>
      </c>
      <c r="I44" s="45">
        <v>2693</v>
      </c>
      <c r="J44" s="47">
        <v>440</v>
      </c>
      <c r="K44" s="45">
        <v>920</v>
      </c>
      <c r="L44" s="47">
        <v>133</v>
      </c>
      <c r="M44" s="45">
        <v>276</v>
      </c>
      <c r="N44" s="46">
        <v>32.380000000000003</v>
      </c>
      <c r="O44" s="46">
        <v>11.43</v>
      </c>
      <c r="P44" s="46">
        <v>32.35</v>
      </c>
      <c r="Q44" s="46">
        <v>31.3</v>
      </c>
      <c r="R44" s="46">
        <v>13.98</v>
      </c>
      <c r="S44" s="46">
        <v>14.8</v>
      </c>
      <c r="T44" s="45">
        <v>62.88</v>
      </c>
      <c r="U44" s="45">
        <v>387.2</v>
      </c>
      <c r="V44" s="55" t="s">
        <v>65</v>
      </c>
      <c r="W44" s="55" t="s">
        <v>59</v>
      </c>
      <c r="X44" s="80">
        <v>18.399999999999999</v>
      </c>
      <c r="Y44" s="80">
        <v>32.049999999999997</v>
      </c>
      <c r="Z44" s="80">
        <v>66</v>
      </c>
      <c r="AA44" s="80">
        <v>106</v>
      </c>
      <c r="AB44" s="80">
        <v>231</v>
      </c>
    </row>
    <row r="45" spans="1:28" x14ac:dyDescent="0.2">
      <c r="A45" s="2"/>
      <c r="B45" s="59">
        <v>0.80379999999999996</v>
      </c>
      <c r="C45" s="59">
        <v>0.79500000000000004</v>
      </c>
      <c r="D45" s="59">
        <v>0.751</v>
      </c>
      <c r="E45" s="59">
        <v>0.7651</v>
      </c>
      <c r="F45" s="59">
        <v>0.75760000000000005</v>
      </c>
      <c r="G45" s="59">
        <v>0.76370000000000005</v>
      </c>
      <c r="H45" s="59">
        <v>0.75780000000000003</v>
      </c>
      <c r="I45" s="59">
        <v>0.75370000000000004</v>
      </c>
      <c r="J45" s="59">
        <v>1.4736</v>
      </c>
      <c r="K45" s="59">
        <v>1.4871000000000001</v>
      </c>
      <c r="L45" s="59">
        <v>1.3751</v>
      </c>
      <c r="M45" s="59">
        <v>1.4715</v>
      </c>
      <c r="N45" s="59">
        <v>1.7735000000000001</v>
      </c>
      <c r="O45" s="59">
        <v>1.4938</v>
      </c>
      <c r="P45" s="59">
        <v>1.768</v>
      </c>
      <c r="Q45" s="59">
        <v>1.694</v>
      </c>
      <c r="R45" s="59">
        <v>1.3004</v>
      </c>
      <c r="S45" s="59">
        <v>0.9355</v>
      </c>
      <c r="T45" s="59">
        <v>1.0249999999999999</v>
      </c>
      <c r="U45" s="59">
        <v>0.71</v>
      </c>
      <c r="V45" s="60" t="s">
        <v>66</v>
      </c>
      <c r="W45" s="60" t="s">
        <v>60</v>
      </c>
      <c r="X45" s="76">
        <v>0.74350000000000005</v>
      </c>
      <c r="Y45" s="76">
        <v>0.76819999999999999</v>
      </c>
      <c r="Z45" s="76">
        <v>0.76580000000000004</v>
      </c>
      <c r="AA45" s="76">
        <v>0.74570000000000003</v>
      </c>
      <c r="AB45" s="76">
        <v>0.76180000000000003</v>
      </c>
    </row>
    <row r="46" spans="1:28" x14ac:dyDescent="0.2">
      <c r="A46" s="2"/>
      <c r="B46" s="49">
        <f>+ROUNDUP((B44*B45),2)</f>
        <v>11.75</v>
      </c>
      <c r="C46" s="49">
        <f>+ROUNDUP((C44*C45),2)</f>
        <v>23.8</v>
      </c>
      <c r="D46" s="49">
        <f>+ROUNDUP((D44*D45),2)</f>
        <v>53.08</v>
      </c>
      <c r="E46" s="49">
        <f>+ROUNDUP((E44*E45),2)</f>
        <v>127.59</v>
      </c>
      <c r="F46" s="49">
        <f t="shared" ref="F46" si="14">+ROUNDUP((F44*F45),2)</f>
        <v>254.48</v>
      </c>
      <c r="G46" s="49">
        <f>+ROUNDUP((G44*G45),2)</f>
        <v>549.41</v>
      </c>
      <c r="H46" s="49">
        <f>+ROUNDUP((H44*H45),2)</f>
        <v>963.17</v>
      </c>
      <c r="I46" s="49">
        <f>+ROUNDUP((I44*I45),2)</f>
        <v>2029.72</v>
      </c>
      <c r="J46" s="50">
        <f>+TRUNC((J44*J45),0)</f>
        <v>648</v>
      </c>
      <c r="K46" s="50">
        <f>+TRUNC((K44*K45),0)</f>
        <v>1368</v>
      </c>
      <c r="L46" s="50">
        <f>+TRUNC((L44*L45),0)</f>
        <v>182</v>
      </c>
      <c r="M46" s="50">
        <f>+TRUNC((M44*M45),0)</f>
        <v>406</v>
      </c>
      <c r="N46" s="49">
        <f>+TRUNC((N44*N45),2)</f>
        <v>57.42</v>
      </c>
      <c r="O46" s="49">
        <f>+TRUNC((O44*O45),2)</f>
        <v>17.07</v>
      </c>
      <c r="P46" s="49">
        <f>+TRUNC((P44*P45),2)</f>
        <v>57.19</v>
      </c>
      <c r="Q46" s="49">
        <f>+TRUNC((Q44*Q45),2)</f>
        <v>53.02</v>
      </c>
      <c r="R46" s="49">
        <f>+TRUNC((R44*R45),2)</f>
        <v>18.170000000000002</v>
      </c>
      <c r="S46" s="49">
        <f>+ROUNDUP((S44*S45),2)</f>
        <v>13.85</v>
      </c>
      <c r="T46" s="49">
        <f>+ROUNDUP((T44*T45),2)</f>
        <v>64.460000000000008</v>
      </c>
      <c r="U46" s="49">
        <f>+ROUNDUP((U44*U45),2)</f>
        <v>274.92</v>
      </c>
      <c r="V46" s="56" t="s">
        <v>67</v>
      </c>
      <c r="W46" s="56" t="s">
        <v>61</v>
      </c>
      <c r="X46" s="81">
        <f t="shared" ref="X46:AB46" si="15">+ROUNDUP((X44*X45),2)</f>
        <v>13.69</v>
      </c>
      <c r="Y46" s="81">
        <f t="shared" si="15"/>
        <v>24.630000000000003</v>
      </c>
      <c r="Z46" s="81">
        <f t="shared" si="15"/>
        <v>50.55</v>
      </c>
      <c r="AA46" s="81">
        <f t="shared" si="15"/>
        <v>79.050000000000011</v>
      </c>
      <c r="AB46" s="81">
        <f t="shared" si="15"/>
        <v>175.98</v>
      </c>
    </row>
    <row r="47" spans="1:28" x14ac:dyDescent="0.2">
      <c r="A47" s="1"/>
      <c r="B47" s="51">
        <f>TRUNC(17.857*(21-B46)^1.81)</f>
        <v>1001</v>
      </c>
      <c r="C47" s="51">
        <f>TRUNC(4.99087*(42.5-C46)^1.81)</f>
        <v>1000</v>
      </c>
      <c r="D47" s="51">
        <f>TRUNC(1.34285*(91.7-D46)^1.81)</f>
        <v>1000</v>
      </c>
      <c r="E47" s="51">
        <f>TRUNC(0.11193*(254-E46)^1.88)</f>
        <v>1000</v>
      </c>
      <c r="F47" s="51">
        <f>TRUNC(0.06039*(430-F46)^1.88)</f>
        <v>1000</v>
      </c>
      <c r="G47" s="51">
        <f>TRUNC(0.01409*(930-G46)^1.88)</f>
        <v>1000</v>
      </c>
      <c r="H47" s="51">
        <f>TRUNC(0.00491*(1630-H46)^1.88)</f>
        <v>1000</v>
      </c>
      <c r="I47" s="51">
        <f>TRUNC(0.00111*(3500-I46)^1.88)</f>
        <v>1000</v>
      </c>
      <c r="J47" s="51">
        <f>TRUNC(0.188807*(J46-210)^1.41)</f>
        <v>1001</v>
      </c>
      <c r="K47" s="51">
        <f>TRUNC(0.08559*(K46-600)^1.41)</f>
        <v>1001</v>
      </c>
      <c r="L47" s="51">
        <f>TRUNC(1.84523*(L46-75)^1.348)</f>
        <v>1003</v>
      </c>
      <c r="M47" s="51">
        <f>TRUNC(0.44125*(M46-100)^1.35)</f>
        <v>1000</v>
      </c>
      <c r="N47" s="51">
        <f>TRUNC(12.3311*(N46-3)^1.1)</f>
        <v>1000</v>
      </c>
      <c r="O47" s="51">
        <f>TRUNC(56.0211*(O46-1.5)^1.05)</f>
        <v>1000</v>
      </c>
      <c r="P47" s="51">
        <f>TRUNC(15.9803*(P46-3.8)^1.04)</f>
        <v>1000</v>
      </c>
      <c r="Q47" s="51">
        <f>TRUNC(17.5458*(Q46-6)^1.05)</f>
        <v>1000</v>
      </c>
      <c r="R47" s="51">
        <f>TRUNC(52.1403*(R46-1.5)^1.05)</f>
        <v>1000</v>
      </c>
      <c r="S47" s="51">
        <f>TRUNC(9.23076*(26.7-S46)^1.835)</f>
        <v>1000</v>
      </c>
      <c r="T47" s="51">
        <f>TRUNC(1.348*(103-T46)^1.81)</f>
        <v>1000</v>
      </c>
      <c r="U47" s="51">
        <f>TRUNC(0.02883*(535-U46)^1.88)</f>
        <v>1000</v>
      </c>
      <c r="V47" s="57" t="s">
        <v>68</v>
      </c>
      <c r="W47" s="57" t="s">
        <v>62</v>
      </c>
      <c r="X47" s="82">
        <v>1000</v>
      </c>
      <c r="Y47" s="82">
        <v>1000</v>
      </c>
      <c r="Z47" s="82">
        <v>1000</v>
      </c>
      <c r="AA47" s="82">
        <v>1000</v>
      </c>
      <c r="AB47" s="82">
        <v>1000</v>
      </c>
    </row>
    <row r="48" spans="1:28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53"/>
      <c r="T48" s="48"/>
      <c r="U48" s="48"/>
      <c r="V48" s="38"/>
      <c r="W48" s="38"/>
      <c r="X48" s="83"/>
      <c r="Y48" s="83"/>
      <c r="Z48" s="83"/>
      <c r="AA48" s="83"/>
      <c r="AB48" s="83"/>
    </row>
    <row r="49" spans="1:28" x14ac:dyDescent="0.2">
      <c r="A49" s="4">
        <v>70</v>
      </c>
      <c r="B49" s="45">
        <v>15.24</v>
      </c>
      <c r="C49" s="46">
        <v>31.34</v>
      </c>
      <c r="D49" s="45">
        <v>74.92</v>
      </c>
      <c r="E49" s="46">
        <v>175.9</v>
      </c>
      <c r="F49" s="45">
        <v>353.4</v>
      </c>
      <c r="G49" s="45">
        <v>763.8</v>
      </c>
      <c r="H49" s="45">
        <v>1351</v>
      </c>
      <c r="I49" s="45">
        <v>2858</v>
      </c>
      <c r="J49" s="47">
        <v>411</v>
      </c>
      <c r="K49" s="45">
        <v>859</v>
      </c>
      <c r="L49" s="47">
        <v>126</v>
      </c>
      <c r="M49" s="45">
        <v>257</v>
      </c>
      <c r="N49" s="46">
        <v>28.72</v>
      </c>
      <c r="O49" s="46">
        <v>10.27</v>
      </c>
      <c r="P49" s="46">
        <v>28.6</v>
      </c>
      <c r="Q49" s="46">
        <v>27.65</v>
      </c>
      <c r="R49" s="46">
        <v>12.47</v>
      </c>
      <c r="S49" s="46">
        <v>15.62</v>
      </c>
      <c r="T49" s="45">
        <v>42.45</v>
      </c>
      <c r="U49" s="45">
        <v>415</v>
      </c>
      <c r="V49" s="55" t="s">
        <v>65</v>
      </c>
      <c r="W49" s="55" t="s">
        <v>59</v>
      </c>
      <c r="X49" s="80">
        <v>20</v>
      </c>
      <c r="Y49" s="80">
        <v>34.200000000000003</v>
      </c>
      <c r="Z49" s="80">
        <v>70.3</v>
      </c>
      <c r="AA49" s="80">
        <v>114</v>
      </c>
      <c r="AB49" s="80">
        <v>248</v>
      </c>
    </row>
    <row r="50" spans="1:28" x14ac:dyDescent="0.2">
      <c r="A50" s="2"/>
      <c r="B50" s="59">
        <v>0.77049999999999996</v>
      </c>
      <c r="C50" s="59">
        <v>0.75939999999999996</v>
      </c>
      <c r="D50" s="59">
        <v>0.70840000000000003</v>
      </c>
      <c r="E50" s="59">
        <v>0.72540000000000004</v>
      </c>
      <c r="F50" s="59">
        <v>0.72019999999999995</v>
      </c>
      <c r="G50" s="59">
        <v>0.71930000000000005</v>
      </c>
      <c r="H50" s="59">
        <v>0.71279999999999999</v>
      </c>
      <c r="I50" s="59">
        <v>0.71</v>
      </c>
      <c r="J50" s="59">
        <v>1.5764</v>
      </c>
      <c r="K50" s="59">
        <v>1.5933999999999999</v>
      </c>
      <c r="L50" s="59">
        <v>1.4473</v>
      </c>
      <c r="M50" s="59">
        <v>1.5819000000000001</v>
      </c>
      <c r="N50" s="59">
        <v>1.9984999999999999</v>
      </c>
      <c r="O50" s="59">
        <v>1.6631</v>
      </c>
      <c r="P50" s="59">
        <v>2.0005999999999999</v>
      </c>
      <c r="Q50" s="59">
        <v>1.9176</v>
      </c>
      <c r="R50" s="59">
        <v>1.4577</v>
      </c>
      <c r="S50" s="59">
        <v>0.88619999999999999</v>
      </c>
      <c r="T50" s="59">
        <v>1.5178</v>
      </c>
      <c r="U50" s="59">
        <v>0.66259999999999997</v>
      </c>
      <c r="V50" s="60" t="s">
        <v>66</v>
      </c>
      <c r="W50" s="60" t="s">
        <v>60</v>
      </c>
      <c r="X50" s="76">
        <v>0.70179999999999998</v>
      </c>
      <c r="Y50" s="76">
        <v>0.7258</v>
      </c>
      <c r="Z50" s="76">
        <v>0.72209999999999996</v>
      </c>
      <c r="AA50" s="76">
        <v>0.70109999999999995</v>
      </c>
      <c r="AB50" s="76">
        <v>0.71419999999999995</v>
      </c>
    </row>
    <row r="51" spans="1:28" x14ac:dyDescent="0.2">
      <c r="A51" s="2"/>
      <c r="B51" s="49">
        <f t="shared" ref="B51:I51" si="16">+ROUNDUP((B49*B50),2)</f>
        <v>11.75</v>
      </c>
      <c r="C51" s="49">
        <f t="shared" si="16"/>
        <v>23.8</v>
      </c>
      <c r="D51" s="49">
        <f t="shared" si="16"/>
        <v>53.08</v>
      </c>
      <c r="E51" s="49">
        <f t="shared" si="16"/>
        <v>127.60000000000001</v>
      </c>
      <c r="F51" s="49">
        <f t="shared" si="16"/>
        <v>254.51999999999998</v>
      </c>
      <c r="G51" s="49">
        <f t="shared" si="16"/>
        <v>549.41</v>
      </c>
      <c r="H51" s="49">
        <f t="shared" si="16"/>
        <v>963</v>
      </c>
      <c r="I51" s="49">
        <f t="shared" si="16"/>
        <v>2029.18</v>
      </c>
      <c r="J51" s="50">
        <f>+TRUNC((J49*J50),0)</f>
        <v>647</v>
      </c>
      <c r="K51" s="50">
        <f>+TRUNC((K49*K50),0)</f>
        <v>1368</v>
      </c>
      <c r="L51" s="50">
        <f>+TRUNC((L49*L50),0)</f>
        <v>182</v>
      </c>
      <c r="M51" s="50">
        <f>+TRUNC((M49*M50),0)</f>
        <v>406</v>
      </c>
      <c r="N51" s="49">
        <f>+TRUNC((N49*N50),2)</f>
        <v>57.39</v>
      </c>
      <c r="O51" s="49">
        <f>+TRUNC((O49*O50),2)</f>
        <v>17.079999999999998</v>
      </c>
      <c r="P51" s="49">
        <f>+TRUNC((P49*P50),2)</f>
        <v>57.21</v>
      </c>
      <c r="Q51" s="49">
        <f>+TRUNC((Q49*Q50),2)</f>
        <v>53.02</v>
      </c>
      <c r="R51" s="49">
        <f>+TRUNC((R49*R50),2)</f>
        <v>18.170000000000002</v>
      </c>
      <c r="S51" s="49">
        <f>+ROUNDUP((S49*S50),2)</f>
        <v>13.85</v>
      </c>
      <c r="T51" s="49">
        <f>+ROUNDUP((T49*T50),2)</f>
        <v>64.440000000000012</v>
      </c>
      <c r="U51" s="49">
        <f>+ROUNDUP((U49*U50),2)</f>
        <v>274.98</v>
      </c>
      <c r="V51" s="56" t="s">
        <v>67</v>
      </c>
      <c r="W51" s="56" t="s">
        <v>61</v>
      </c>
      <c r="X51" s="81">
        <f t="shared" ref="X51:AB51" si="17">+ROUNDUP((X49*X50),2)</f>
        <v>14.04</v>
      </c>
      <c r="Y51" s="81">
        <f t="shared" si="17"/>
        <v>24.830000000000002</v>
      </c>
      <c r="Z51" s="81">
        <f t="shared" si="17"/>
        <v>50.769999999999996</v>
      </c>
      <c r="AA51" s="81">
        <f t="shared" si="17"/>
        <v>79.930000000000007</v>
      </c>
      <c r="AB51" s="81">
        <f t="shared" si="17"/>
        <v>177.13</v>
      </c>
    </row>
    <row r="52" spans="1:28" x14ac:dyDescent="0.2">
      <c r="A52" s="37"/>
      <c r="B52" s="51">
        <f>TRUNC(17.857*(21-B51)^1.81)</f>
        <v>1001</v>
      </c>
      <c r="C52" s="51">
        <f>TRUNC(4.99087*(42.5-C51)^1.81)</f>
        <v>1000</v>
      </c>
      <c r="D52" s="51">
        <f>TRUNC(1.34285*(91.7-D51)^1.81)</f>
        <v>1000</v>
      </c>
      <c r="E52" s="51">
        <f>TRUNC(0.11193*(254-E51)^1.88)</f>
        <v>1000</v>
      </c>
      <c r="F52" s="51">
        <f>TRUNC(0.06039*(430-F51)^1.88)</f>
        <v>1000</v>
      </c>
      <c r="G52" s="51">
        <f>TRUNC(0.01409*(930-G51)^1.88)</f>
        <v>1000</v>
      </c>
      <c r="H52" s="51">
        <f>TRUNC(0.00491*(1630-H51)^1.88)</f>
        <v>1001</v>
      </c>
      <c r="I52" s="51">
        <f>TRUNC(0.00111*(3500-I51)^1.88)</f>
        <v>1000</v>
      </c>
      <c r="J52" s="51">
        <f>TRUNC(0.188807*(J51-210)^1.41)</f>
        <v>997</v>
      </c>
      <c r="K52" s="51">
        <f>TRUNC(0.08559*(K51-600)^1.41)</f>
        <v>1001</v>
      </c>
      <c r="L52" s="51">
        <f>TRUNC(1.84523*(L51-75)^1.348)</f>
        <v>1003</v>
      </c>
      <c r="M52" s="51">
        <f>TRUNC(0.44125*(M51-100)^1.35)</f>
        <v>1000</v>
      </c>
      <c r="N52" s="51">
        <f>TRUNC(12.3311*(N51-3)^1.1)</f>
        <v>1000</v>
      </c>
      <c r="O52" s="51">
        <f>TRUNC(56.0211*(O51-1.5)^1.05)</f>
        <v>1001</v>
      </c>
      <c r="P52" s="51">
        <f>TRUNC(15.9803*(P51-3.8)^1.04)</f>
        <v>1000</v>
      </c>
      <c r="Q52" s="51">
        <f>TRUNC(17.5458*(Q51-6)^1.05)</f>
        <v>1000</v>
      </c>
      <c r="R52" s="51">
        <f>TRUNC(52.1403*(R51-1.5)^1.05)</f>
        <v>1000</v>
      </c>
      <c r="S52" s="51">
        <f>TRUNC(9.23076*(26.7-S51)^1.835)</f>
        <v>1000</v>
      </c>
      <c r="T52" s="51">
        <f>TRUNC(1.348*(103-T51)^1.81)</f>
        <v>1001</v>
      </c>
      <c r="U52" s="51">
        <f>TRUNC(0.02883*(535-U51)^1.88)</f>
        <v>1000</v>
      </c>
      <c r="V52" s="57" t="s">
        <v>68</v>
      </c>
      <c r="W52" s="57" t="s">
        <v>62</v>
      </c>
      <c r="X52" s="82">
        <v>1000</v>
      </c>
      <c r="Y52" s="82">
        <v>1000</v>
      </c>
      <c r="Z52" s="82">
        <v>1000</v>
      </c>
      <c r="AA52" s="82">
        <v>1000</v>
      </c>
      <c r="AB52" s="82">
        <v>1000</v>
      </c>
    </row>
    <row r="53" spans="1:28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53"/>
      <c r="T53" s="48"/>
      <c r="U53" s="48"/>
      <c r="V53" s="38"/>
      <c r="W53" s="38"/>
      <c r="X53" s="83"/>
      <c r="Y53" s="83"/>
      <c r="Z53" s="83"/>
      <c r="AA53" s="83"/>
      <c r="AB53" s="83"/>
    </row>
    <row r="54" spans="1:28" x14ac:dyDescent="0.2">
      <c r="A54" s="4">
        <v>75</v>
      </c>
      <c r="B54" s="45">
        <v>15.92</v>
      </c>
      <c r="C54" s="46">
        <v>32.86</v>
      </c>
      <c r="D54" s="45">
        <v>79.849999999999994</v>
      </c>
      <c r="E54" s="46">
        <v>186.3</v>
      </c>
      <c r="F54" s="45">
        <v>373.6</v>
      </c>
      <c r="G54" s="45">
        <v>814.7</v>
      </c>
      <c r="H54" s="45">
        <v>1445</v>
      </c>
      <c r="I54" s="45">
        <v>3051</v>
      </c>
      <c r="J54" s="47">
        <v>383</v>
      </c>
      <c r="K54" s="45">
        <v>800</v>
      </c>
      <c r="L54" s="47">
        <v>120</v>
      </c>
      <c r="M54" s="45">
        <v>237</v>
      </c>
      <c r="N54" s="46">
        <v>29.11</v>
      </c>
      <c r="O54" s="46">
        <v>11.18</v>
      </c>
      <c r="P54" s="46">
        <v>28</v>
      </c>
      <c r="Q54" s="46">
        <v>31.7</v>
      </c>
      <c r="R54" s="46">
        <v>13.23</v>
      </c>
      <c r="S54" s="46">
        <v>16.78</v>
      </c>
      <c r="T54" s="45">
        <v>45.17</v>
      </c>
      <c r="U54" s="45">
        <v>451.5</v>
      </c>
      <c r="V54" s="55" t="s">
        <v>65</v>
      </c>
      <c r="W54" s="55" t="s">
        <v>59</v>
      </c>
      <c r="X54" s="80">
        <v>21.3</v>
      </c>
      <c r="Y54" s="80">
        <v>36.5</v>
      </c>
      <c r="Z54" s="80">
        <v>76</v>
      </c>
      <c r="AA54" s="84">
        <v>123</v>
      </c>
      <c r="AB54" s="80">
        <v>268</v>
      </c>
    </row>
    <row r="55" spans="1:28" x14ac:dyDescent="0.2">
      <c r="A55" s="2"/>
      <c r="B55" s="59">
        <v>0.73770000000000002</v>
      </c>
      <c r="C55" s="59">
        <v>0.72419999999999995</v>
      </c>
      <c r="D55" s="59">
        <v>0.66469999999999996</v>
      </c>
      <c r="E55" s="59">
        <v>0.68479999999999996</v>
      </c>
      <c r="F55" s="59">
        <v>0.68120000000000003</v>
      </c>
      <c r="G55" s="59">
        <v>0.67430000000000001</v>
      </c>
      <c r="H55" s="59">
        <v>0.66649999999999998</v>
      </c>
      <c r="I55" s="59">
        <v>0.66510000000000002</v>
      </c>
      <c r="J55" s="59">
        <v>1.6928000000000001</v>
      </c>
      <c r="K55" s="59">
        <v>1.7097</v>
      </c>
      <c r="L55" s="59">
        <v>1.5242</v>
      </c>
      <c r="M55" s="59">
        <v>1.7128000000000001</v>
      </c>
      <c r="N55" s="59">
        <v>1.9717</v>
      </c>
      <c r="O55" s="59">
        <v>1.5282</v>
      </c>
      <c r="P55" s="59">
        <v>2.0428000000000002</v>
      </c>
      <c r="Q55" s="59">
        <v>1.673</v>
      </c>
      <c r="R55" s="59">
        <v>1.3741000000000001</v>
      </c>
      <c r="S55" s="59">
        <v>0.82489999999999997</v>
      </c>
      <c r="T55" s="59">
        <v>1.4266000000000001</v>
      </c>
      <c r="U55" s="59">
        <v>0.60880000000000001</v>
      </c>
      <c r="V55" s="60" t="s">
        <v>66</v>
      </c>
      <c r="W55" s="60" t="s">
        <v>60</v>
      </c>
      <c r="X55" s="76">
        <v>0.6603</v>
      </c>
      <c r="Y55" s="76">
        <v>0.68240000000000001</v>
      </c>
      <c r="Z55" s="76">
        <v>0.6774</v>
      </c>
      <c r="AA55" s="76">
        <v>0.65510000000000002</v>
      </c>
      <c r="AB55" s="76">
        <v>0.66459999999999997</v>
      </c>
    </row>
    <row r="56" spans="1:28" x14ac:dyDescent="0.2">
      <c r="A56" s="2"/>
      <c r="B56" s="49">
        <f t="shared" ref="B56:I56" si="18">+ROUNDUP((B54*B55),2)</f>
        <v>11.75</v>
      </c>
      <c r="C56" s="49">
        <f t="shared" si="18"/>
        <v>23.8</v>
      </c>
      <c r="D56" s="49">
        <f t="shared" si="18"/>
        <v>53.08</v>
      </c>
      <c r="E56" s="49">
        <f t="shared" si="18"/>
        <v>127.58</v>
      </c>
      <c r="F56" s="49">
        <f t="shared" si="18"/>
        <v>254.5</v>
      </c>
      <c r="G56" s="49">
        <f t="shared" si="18"/>
        <v>549.36</v>
      </c>
      <c r="H56" s="49">
        <f t="shared" si="18"/>
        <v>963.1</v>
      </c>
      <c r="I56" s="49">
        <f t="shared" si="18"/>
        <v>2029.23</v>
      </c>
      <c r="J56" s="50">
        <f>+TRUNC((J54*J55),0)</f>
        <v>648</v>
      </c>
      <c r="K56" s="50">
        <f>+TRUNC((K54*K55),0)</f>
        <v>1367</v>
      </c>
      <c r="L56" s="50">
        <f>+TRUNC((L54*L55),0)</f>
        <v>182</v>
      </c>
      <c r="M56" s="50">
        <f>+TRUNC((M54*M55),0)</f>
        <v>405</v>
      </c>
      <c r="N56" s="49">
        <f>+TRUNC((N54*N55),2)</f>
        <v>57.39</v>
      </c>
      <c r="O56" s="49">
        <f>+TRUNC((O54*O55),2)</f>
        <v>17.079999999999998</v>
      </c>
      <c r="P56" s="49">
        <f>+TRUNC((P54*P55),2)</f>
        <v>57.19</v>
      </c>
      <c r="Q56" s="49">
        <f>+TRUNC((Q54*Q55),2)</f>
        <v>53.03</v>
      </c>
      <c r="R56" s="49">
        <f>+TRUNC((R54*R55),2)</f>
        <v>18.170000000000002</v>
      </c>
      <c r="S56" s="49">
        <f>+ROUNDUP((S54*S55),2)</f>
        <v>13.85</v>
      </c>
      <c r="T56" s="49">
        <f>+ROUNDUP((T54*T55),2)</f>
        <v>64.440000000000012</v>
      </c>
      <c r="U56" s="49">
        <f>+ROUNDUP((U54*U55),2)</f>
        <v>274.88</v>
      </c>
      <c r="V56" s="56" t="s">
        <v>67</v>
      </c>
      <c r="W56" s="56" t="s">
        <v>61</v>
      </c>
      <c r="X56" s="81">
        <f t="shared" ref="X56:AB56" si="19">+ROUNDUP((X54*X55),2)</f>
        <v>14.07</v>
      </c>
      <c r="Y56" s="81">
        <f t="shared" si="19"/>
        <v>24.91</v>
      </c>
      <c r="Z56" s="81">
        <f t="shared" si="19"/>
        <v>51.489999999999995</v>
      </c>
      <c r="AA56" s="81">
        <f t="shared" si="19"/>
        <v>80.58</v>
      </c>
      <c r="AB56" s="81">
        <f t="shared" si="19"/>
        <v>178.12</v>
      </c>
    </row>
    <row r="57" spans="1:28" x14ac:dyDescent="0.2">
      <c r="A57" s="37"/>
      <c r="B57" s="51">
        <f>TRUNC(17.857*(21-B56)^1.81)</f>
        <v>1001</v>
      </c>
      <c r="C57" s="51">
        <f>TRUNC(4.99087*(42.5-C56)^1.81)</f>
        <v>1000</v>
      </c>
      <c r="D57" s="51">
        <f>TRUNC(1.34285*(91.7-D56)^1.81)</f>
        <v>1000</v>
      </c>
      <c r="E57" s="51">
        <f>TRUNC(0.11193*(254-E56)^1.88)</f>
        <v>1000</v>
      </c>
      <c r="F57" s="51">
        <f>TRUNC(0.06039*(430-F56)^1.88)</f>
        <v>1000</v>
      </c>
      <c r="G57" s="51">
        <f>TRUNC(0.01409*(930-G56)^1.88)</f>
        <v>1000</v>
      </c>
      <c r="H57" s="51">
        <f>TRUNC(0.00491*(1630-H56)^1.88)</f>
        <v>1000</v>
      </c>
      <c r="I57" s="51">
        <f>TRUNC(0.00111*(3500-I56)^1.88)</f>
        <v>1000</v>
      </c>
      <c r="J57" s="51">
        <f>TRUNC(0.188807*(J56-210)^1.41)</f>
        <v>1001</v>
      </c>
      <c r="K57" s="51">
        <f>TRUNC(0.08559*(K56-600)^1.41)</f>
        <v>999</v>
      </c>
      <c r="L57" s="51">
        <f>TRUNC(1.84523*(L56-75)^1.348)</f>
        <v>1003</v>
      </c>
      <c r="M57" s="51">
        <f>TRUNC(0.44125*(M56-100)^1.35)</f>
        <v>996</v>
      </c>
      <c r="N57" s="51">
        <f>TRUNC(12.3311*(N56-3)^1.1)</f>
        <v>1000</v>
      </c>
      <c r="O57" s="51">
        <f>TRUNC(56.0211*(O56-1.5)^1.05)</f>
        <v>1001</v>
      </c>
      <c r="P57" s="51">
        <f>TRUNC(15.9803*(P56-3.8)^1.04)</f>
        <v>1000</v>
      </c>
      <c r="Q57" s="51">
        <f>TRUNC(17.5458*(Q56-6)^1.05)</f>
        <v>1000</v>
      </c>
      <c r="R57" s="51">
        <f>TRUNC(52.1403*(R56-1.5)^1.05)</f>
        <v>1000</v>
      </c>
      <c r="S57" s="51">
        <f>TRUNC(9.23076*(26.7-S56)^1.835)</f>
        <v>1000</v>
      </c>
      <c r="T57" s="51">
        <f>TRUNC(1.348*(103-T56)^1.81)</f>
        <v>1001</v>
      </c>
      <c r="U57" s="51">
        <f>TRUNC(0.02883*(535-U56)^1.88)</f>
        <v>1000</v>
      </c>
      <c r="V57" s="57" t="s">
        <v>68</v>
      </c>
      <c r="W57" s="57" t="s">
        <v>62</v>
      </c>
      <c r="X57" s="82">
        <v>1000</v>
      </c>
      <c r="Y57" s="82">
        <v>1000</v>
      </c>
      <c r="Z57" s="82">
        <v>1000</v>
      </c>
      <c r="AA57" s="82">
        <v>1000</v>
      </c>
      <c r="AB57" s="82">
        <v>1000</v>
      </c>
    </row>
    <row r="58" spans="1:28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53"/>
      <c r="T58" s="48"/>
      <c r="U58" s="48"/>
      <c r="V58" s="38"/>
      <c r="W58" s="38"/>
      <c r="X58" s="83"/>
      <c r="Y58" s="83"/>
      <c r="Z58" s="83"/>
      <c r="AA58" s="83"/>
      <c r="AB58" s="83"/>
    </row>
    <row r="59" spans="1:28" x14ac:dyDescent="0.2">
      <c r="A59" s="4">
        <v>80</v>
      </c>
      <c r="B59" s="45">
        <v>16.690000000000001</v>
      </c>
      <c r="C59" s="46">
        <v>34.61</v>
      </c>
      <c r="D59" s="45">
        <v>86.32</v>
      </c>
      <c r="E59" s="46">
        <v>200.8</v>
      </c>
      <c r="F59" s="45">
        <v>403</v>
      </c>
      <c r="G59" s="45">
        <v>873.7</v>
      </c>
      <c r="H59" s="45">
        <v>1555</v>
      </c>
      <c r="I59" s="45">
        <v>3278</v>
      </c>
      <c r="J59" s="47">
        <v>350</v>
      </c>
      <c r="K59" s="45">
        <v>735</v>
      </c>
      <c r="L59" s="47">
        <v>113</v>
      </c>
      <c r="M59" s="45">
        <v>214</v>
      </c>
      <c r="N59" s="46">
        <v>25.19</v>
      </c>
      <c r="O59" s="46">
        <v>9.8000000000000007</v>
      </c>
      <c r="P59" s="46">
        <v>24.26</v>
      </c>
      <c r="Q59" s="46">
        <v>27.25</v>
      </c>
      <c r="R59" s="46">
        <v>11.47</v>
      </c>
      <c r="S59" s="46">
        <v>18.420000000000002</v>
      </c>
      <c r="T59" s="45">
        <v>49.16</v>
      </c>
      <c r="U59" s="45">
        <v>501</v>
      </c>
      <c r="V59" s="55" t="s">
        <v>65</v>
      </c>
      <c r="W59" s="55" t="s">
        <v>59</v>
      </c>
      <c r="X59" s="80">
        <v>23.2</v>
      </c>
      <c r="Y59" s="80">
        <v>39.5</v>
      </c>
      <c r="Z59" s="80">
        <v>82.3</v>
      </c>
      <c r="AA59" s="80">
        <v>134</v>
      </c>
      <c r="AB59" s="80">
        <v>292</v>
      </c>
    </row>
    <row r="60" spans="1:28" x14ac:dyDescent="0.2">
      <c r="A60" s="2"/>
      <c r="B60" s="59">
        <v>0.70399999999999996</v>
      </c>
      <c r="C60" s="59">
        <v>0.6875</v>
      </c>
      <c r="D60" s="59">
        <v>0.61480000000000001</v>
      </c>
      <c r="E60" s="59">
        <v>0.63539999999999996</v>
      </c>
      <c r="F60" s="59">
        <v>0.63160000000000005</v>
      </c>
      <c r="G60" s="59">
        <v>0.62880000000000003</v>
      </c>
      <c r="H60" s="59">
        <v>0.61899999999999999</v>
      </c>
      <c r="I60" s="59">
        <v>0.61909999999999998</v>
      </c>
      <c r="J60" s="59">
        <v>1.8499000000000001</v>
      </c>
      <c r="K60" s="59">
        <v>1.8608</v>
      </c>
      <c r="L60" s="59">
        <v>1.6061000000000001</v>
      </c>
      <c r="M60" s="59">
        <v>1.8944000000000001</v>
      </c>
      <c r="N60" s="59">
        <v>2.2786</v>
      </c>
      <c r="O60" s="59">
        <v>1.7433000000000001</v>
      </c>
      <c r="P60" s="59">
        <v>2.3589000000000002</v>
      </c>
      <c r="Q60" s="59">
        <v>1.9458</v>
      </c>
      <c r="R60" s="59">
        <v>1.5846</v>
      </c>
      <c r="S60" s="59">
        <v>0.75149999999999995</v>
      </c>
      <c r="T60" s="59">
        <v>1.3109</v>
      </c>
      <c r="U60" s="59">
        <v>0.54859999999999998</v>
      </c>
      <c r="V60" s="60" t="s">
        <v>66</v>
      </c>
      <c r="W60" s="60" t="s">
        <v>60</v>
      </c>
      <c r="X60" s="76">
        <v>0.61890000000000001</v>
      </c>
      <c r="Y60" s="76">
        <v>0.6381</v>
      </c>
      <c r="Z60" s="76">
        <v>0.63200000000000001</v>
      </c>
      <c r="AA60" s="76">
        <v>0.60780000000000001</v>
      </c>
      <c r="AB60" s="76">
        <v>0.61309999999999998</v>
      </c>
    </row>
    <row r="61" spans="1:28" x14ac:dyDescent="0.2">
      <c r="A61" s="2"/>
      <c r="B61" s="49">
        <f t="shared" ref="B61:I61" si="20">+ROUNDUP((B59*B60),2)</f>
        <v>11.75</v>
      </c>
      <c r="C61" s="49">
        <f t="shared" si="20"/>
        <v>23.8</v>
      </c>
      <c r="D61" s="49">
        <f t="shared" si="20"/>
        <v>53.07</v>
      </c>
      <c r="E61" s="49">
        <f t="shared" si="20"/>
        <v>127.59</v>
      </c>
      <c r="F61" s="49">
        <f t="shared" si="20"/>
        <v>254.54</v>
      </c>
      <c r="G61" s="49">
        <f t="shared" si="20"/>
        <v>549.39</v>
      </c>
      <c r="H61" s="49">
        <f t="shared" si="20"/>
        <v>962.55</v>
      </c>
      <c r="I61" s="49">
        <f t="shared" si="20"/>
        <v>2029.41</v>
      </c>
      <c r="J61" s="50">
        <f>+TRUNC((J59*J60),0)</f>
        <v>647</v>
      </c>
      <c r="K61" s="50">
        <f>+TRUNC((K59*K60),0)</f>
        <v>1367</v>
      </c>
      <c r="L61" s="50">
        <f>+TRUNC((L59*L60),0)</f>
        <v>181</v>
      </c>
      <c r="M61" s="50">
        <f>+TRUNC((M59*M60),0)</f>
        <v>405</v>
      </c>
      <c r="N61" s="49">
        <f>+TRUNC((N59*N60),2)</f>
        <v>57.39</v>
      </c>
      <c r="O61" s="49">
        <f>+TRUNC((O59*O60),2)</f>
        <v>17.079999999999998</v>
      </c>
      <c r="P61" s="49">
        <f>+TRUNC((P59*P60),2)</f>
        <v>57.22</v>
      </c>
      <c r="Q61" s="49">
        <f>+TRUNC((Q59*Q60),2)</f>
        <v>53.02</v>
      </c>
      <c r="R61" s="49">
        <f>+TRUNC((R59*R60),2)</f>
        <v>18.170000000000002</v>
      </c>
      <c r="S61" s="49">
        <f>+ROUNDUP((S59*S60),2)</f>
        <v>13.85</v>
      </c>
      <c r="T61" s="49">
        <f>+ROUNDUP((T59*T60),2)</f>
        <v>64.45</v>
      </c>
      <c r="U61" s="49">
        <f>+ROUNDUP((U59*U60),2)</f>
        <v>274.84999999999997</v>
      </c>
      <c r="V61" s="56" t="s">
        <v>67</v>
      </c>
      <c r="W61" s="56" t="s">
        <v>61</v>
      </c>
      <c r="X61" s="81">
        <f t="shared" ref="X61:AB61" si="21">+ROUNDUP((X59*X60),2)</f>
        <v>14.36</v>
      </c>
      <c r="Y61" s="81">
        <f t="shared" si="21"/>
        <v>25.21</v>
      </c>
      <c r="Z61" s="81">
        <f t="shared" si="21"/>
        <v>52.019999999999996</v>
      </c>
      <c r="AA61" s="81">
        <f t="shared" si="21"/>
        <v>81.45</v>
      </c>
      <c r="AB61" s="81">
        <f t="shared" si="21"/>
        <v>179.03</v>
      </c>
    </row>
    <row r="62" spans="1:28" x14ac:dyDescent="0.2">
      <c r="A62" s="37"/>
      <c r="B62" s="51">
        <f>TRUNC(17.857*(21-B61)^1.81)</f>
        <v>1001</v>
      </c>
      <c r="C62" s="51">
        <f>TRUNC(4.99087*(42.5-C61)^1.81)</f>
        <v>1000</v>
      </c>
      <c r="D62" s="51">
        <f>TRUNC(1.34285*(91.7-D61)^1.81)</f>
        <v>1000</v>
      </c>
      <c r="E62" s="51">
        <f>TRUNC(0.11193*(254-E61)^1.88)</f>
        <v>1000</v>
      </c>
      <c r="F62" s="51">
        <f>TRUNC(0.06039*(430-F61)^1.88)</f>
        <v>1000</v>
      </c>
      <c r="G62" s="51">
        <f>TRUNC(0.01409*(930-G61)^1.88)</f>
        <v>1000</v>
      </c>
      <c r="H62" s="51">
        <f>TRUNC(0.00491*(1630-H61)^1.88)</f>
        <v>1002</v>
      </c>
      <c r="I62" s="51">
        <f>TRUNC(0.00111*(3500-I61)^1.88)</f>
        <v>1000</v>
      </c>
      <c r="J62" s="51">
        <f>TRUNC(0.188807*(J61-210)^1.41)</f>
        <v>997</v>
      </c>
      <c r="K62" s="51">
        <f>TRUNC(0.08559*(K61-600)^1.41)</f>
        <v>999</v>
      </c>
      <c r="L62" s="51">
        <f>TRUNC(1.84523*(L61-75)^1.348)</f>
        <v>991</v>
      </c>
      <c r="M62" s="51">
        <f>TRUNC(0.44125*(M61-100)^1.35)</f>
        <v>996</v>
      </c>
      <c r="N62" s="51">
        <f>TRUNC(12.3311*(N61-3)^1.1)</f>
        <v>1000</v>
      </c>
      <c r="O62" s="51">
        <f>TRUNC(56.0211*(O61-1.5)^1.05)</f>
        <v>1001</v>
      </c>
      <c r="P62" s="51">
        <f>TRUNC(15.9803*(P61-3.8)^1.04)</f>
        <v>1000</v>
      </c>
      <c r="Q62" s="51">
        <f>TRUNC(17.5458*(Q61-6)^1.05)</f>
        <v>1000</v>
      </c>
      <c r="R62" s="51">
        <f>TRUNC(52.1403*(R61-1.5)^1.05)</f>
        <v>1000</v>
      </c>
      <c r="S62" s="51">
        <f>TRUNC(9.23076*(26.7-S61)^1.835)</f>
        <v>1000</v>
      </c>
      <c r="T62" s="51">
        <f>TRUNC(1.348*(103-T61)^1.81)</f>
        <v>1000</v>
      </c>
      <c r="U62" s="51">
        <f>TRUNC(0.02883*(535-U61)^1.88)</f>
        <v>1001</v>
      </c>
      <c r="V62" s="57" t="s">
        <v>68</v>
      </c>
      <c r="W62" s="57" t="s">
        <v>62</v>
      </c>
      <c r="X62" s="82">
        <v>1000</v>
      </c>
      <c r="Y62" s="82">
        <v>1000</v>
      </c>
      <c r="Z62" s="82">
        <v>1000</v>
      </c>
      <c r="AA62" s="82">
        <v>1000</v>
      </c>
      <c r="AB62" s="82">
        <v>1000</v>
      </c>
    </row>
    <row r="63" spans="1:28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53"/>
      <c r="T63" s="48"/>
      <c r="U63" s="48"/>
      <c r="V63" s="38"/>
      <c r="W63" s="38"/>
      <c r="X63" s="83"/>
      <c r="Y63" s="83"/>
      <c r="Z63" s="83"/>
      <c r="AA63" s="83"/>
      <c r="AB63" s="83"/>
    </row>
    <row r="64" spans="1:28" x14ac:dyDescent="0.2">
      <c r="A64" s="4">
        <v>85</v>
      </c>
      <c r="B64" s="45">
        <v>17.829999999999998</v>
      </c>
      <c r="C64" s="46">
        <v>37.33</v>
      </c>
      <c r="D64" s="45">
        <v>95.52</v>
      </c>
      <c r="E64" s="46">
        <v>222</v>
      </c>
      <c r="F64" s="45">
        <v>446.5</v>
      </c>
      <c r="G64" s="45">
        <v>953.4</v>
      </c>
      <c r="H64" s="45">
        <v>1700</v>
      </c>
      <c r="I64" s="45">
        <v>3572</v>
      </c>
      <c r="J64" s="47">
        <v>312</v>
      </c>
      <c r="K64" s="45">
        <v>657</v>
      </c>
      <c r="L64" s="47">
        <v>107</v>
      </c>
      <c r="M64" s="45">
        <v>188</v>
      </c>
      <c r="N64" s="46">
        <v>21.38</v>
      </c>
      <c r="O64" s="46">
        <v>8.44</v>
      </c>
      <c r="P64" s="46">
        <v>20.65</v>
      </c>
      <c r="Q64" s="46">
        <v>22.95</v>
      </c>
      <c r="R64" s="46">
        <v>9.74</v>
      </c>
      <c r="S64" s="46">
        <v>20.79</v>
      </c>
      <c r="T64" s="45">
        <v>55.04</v>
      </c>
      <c r="U64" s="45">
        <v>570.5</v>
      </c>
      <c r="V64" s="55" t="s">
        <v>65</v>
      </c>
      <c r="W64" s="55" t="s">
        <v>59</v>
      </c>
      <c r="X64" s="80">
        <v>25.2</v>
      </c>
      <c r="Y64" s="80">
        <v>43.05</v>
      </c>
      <c r="Z64" s="80">
        <v>89.3</v>
      </c>
      <c r="AA64" s="80">
        <v>146</v>
      </c>
      <c r="AB64" s="80">
        <v>318</v>
      </c>
    </row>
    <row r="65" spans="1:28" x14ac:dyDescent="0.2">
      <c r="A65" s="2"/>
      <c r="B65" s="59">
        <v>0.65900000000000003</v>
      </c>
      <c r="C65" s="59">
        <v>0.63739999999999997</v>
      </c>
      <c r="D65" s="59">
        <v>0.55559999999999998</v>
      </c>
      <c r="E65" s="59">
        <v>0.5746</v>
      </c>
      <c r="F65" s="59">
        <v>0.56979999999999997</v>
      </c>
      <c r="G65" s="59">
        <v>0.57620000000000005</v>
      </c>
      <c r="H65" s="59">
        <v>0.5665</v>
      </c>
      <c r="I65" s="59">
        <v>0.56789999999999996</v>
      </c>
      <c r="J65" s="59">
        <v>2.0771000000000002</v>
      </c>
      <c r="K65" s="59">
        <v>2.0813000000000001</v>
      </c>
      <c r="L65" s="59">
        <v>1.7029000000000001</v>
      </c>
      <c r="M65" s="59">
        <v>2.1558999999999999</v>
      </c>
      <c r="N65" s="59">
        <v>2.6842999999999999</v>
      </c>
      <c r="O65" s="59">
        <v>2.0244</v>
      </c>
      <c r="P65" s="59">
        <v>2.7698</v>
      </c>
      <c r="Q65" s="59">
        <v>2.3109999999999999</v>
      </c>
      <c r="R65" s="59">
        <v>1.8666</v>
      </c>
      <c r="S65" s="59">
        <v>0.66610000000000003</v>
      </c>
      <c r="T65" s="59">
        <v>1.1708000000000001</v>
      </c>
      <c r="U65" s="59">
        <v>0.4819</v>
      </c>
      <c r="V65" s="60" t="s">
        <v>66</v>
      </c>
      <c r="W65" s="60" t="s">
        <v>60</v>
      </c>
      <c r="X65" s="76">
        <v>0.5776</v>
      </c>
      <c r="Y65" s="76">
        <v>0.59289999999999998</v>
      </c>
      <c r="Z65" s="76">
        <v>0.5857</v>
      </c>
      <c r="AA65" s="76">
        <v>0.55300000000000005</v>
      </c>
      <c r="AB65" s="76">
        <v>0.55379999999999996</v>
      </c>
    </row>
    <row r="66" spans="1:28" x14ac:dyDescent="0.2">
      <c r="A66" s="2"/>
      <c r="B66" s="49">
        <f t="shared" ref="B66:I66" si="22">+ROUNDUP((B64*B65),2)</f>
        <v>11.75</v>
      </c>
      <c r="C66" s="49">
        <f t="shared" si="22"/>
        <v>23.8</v>
      </c>
      <c r="D66" s="49">
        <f t="shared" si="22"/>
        <v>53.08</v>
      </c>
      <c r="E66" s="49">
        <f t="shared" si="22"/>
        <v>127.57000000000001</v>
      </c>
      <c r="F66" s="49">
        <f t="shared" si="22"/>
        <v>254.42</v>
      </c>
      <c r="G66" s="49">
        <f t="shared" si="22"/>
        <v>549.35</v>
      </c>
      <c r="H66" s="49">
        <f t="shared" si="22"/>
        <v>963.05</v>
      </c>
      <c r="I66" s="49">
        <f t="shared" si="22"/>
        <v>2028.54</v>
      </c>
      <c r="J66" s="50">
        <f>+TRUNC((J64*J65),0)</f>
        <v>648</v>
      </c>
      <c r="K66" s="50">
        <f>+TRUNC((K64*K65),0)</f>
        <v>1367</v>
      </c>
      <c r="L66" s="50">
        <f>+TRUNC((L64*L65),0)</f>
        <v>182</v>
      </c>
      <c r="M66" s="50">
        <f>+TRUNC((M64*M65),0)</f>
        <v>405</v>
      </c>
      <c r="N66" s="49">
        <f>+TRUNC((N64*N65),2)</f>
        <v>57.39</v>
      </c>
      <c r="O66" s="49">
        <f>+TRUNC((O64*O65),2)</f>
        <v>17.079999999999998</v>
      </c>
      <c r="P66" s="49">
        <f>+TRUNC((P64*P65),2)</f>
        <v>57.19</v>
      </c>
      <c r="Q66" s="49">
        <f>+TRUNC((Q64*Q65),2)</f>
        <v>53.03</v>
      </c>
      <c r="R66" s="49">
        <f>+TRUNC((R64*R65),2)</f>
        <v>18.18</v>
      </c>
      <c r="S66" s="49">
        <f>+ROUNDUP((S64*S65),2)</f>
        <v>13.85</v>
      </c>
      <c r="T66" s="49">
        <f>+ROUNDUP((T64*T65),2)</f>
        <v>64.45</v>
      </c>
      <c r="U66" s="49">
        <f>+ROUNDUP((U64*U65),2)</f>
        <v>274.93</v>
      </c>
      <c r="V66" s="56" t="s">
        <v>67</v>
      </c>
      <c r="W66" s="56" t="s">
        <v>61</v>
      </c>
      <c r="X66" s="81">
        <f t="shared" ref="X66:AB66" si="23">+ROUNDUP((X64*X65),2)</f>
        <v>14.56</v>
      </c>
      <c r="Y66" s="81">
        <f t="shared" si="23"/>
        <v>25.53</v>
      </c>
      <c r="Z66" s="81">
        <f t="shared" si="23"/>
        <v>52.309999999999995</v>
      </c>
      <c r="AA66" s="81">
        <f t="shared" si="23"/>
        <v>80.740000000000009</v>
      </c>
      <c r="AB66" s="81">
        <f t="shared" si="23"/>
        <v>176.10999999999999</v>
      </c>
    </row>
    <row r="67" spans="1:28" x14ac:dyDescent="0.2">
      <c r="A67" s="37"/>
      <c r="B67" s="51">
        <f>TRUNC(17.857*(21-B66)^1.81)</f>
        <v>1001</v>
      </c>
      <c r="C67" s="51">
        <f>TRUNC(4.99087*(42.5-C66)^1.81)</f>
        <v>1000</v>
      </c>
      <c r="D67" s="51">
        <f>TRUNC(1.34285*(91.7-D66)^1.81)</f>
        <v>1000</v>
      </c>
      <c r="E67" s="51">
        <f>TRUNC(0.11193*(254-E66)^1.88)</f>
        <v>1000</v>
      </c>
      <c r="F67" s="51">
        <f>TRUNC(0.06039*(430-F66)^1.88)</f>
        <v>1001</v>
      </c>
      <c r="G67" s="51">
        <f>TRUNC(0.01409*(930-G66)^1.88)</f>
        <v>1000</v>
      </c>
      <c r="H67" s="51">
        <f>TRUNC(0.00491*(1630-H66)^1.88)</f>
        <v>1000</v>
      </c>
      <c r="I67" s="51">
        <f>TRUNC(0.00111*(3500-I66)^1.88)</f>
        <v>1001</v>
      </c>
      <c r="J67" s="51">
        <f>TRUNC(0.188807*(J66-210)^1.41)</f>
        <v>1001</v>
      </c>
      <c r="K67" s="51">
        <f>TRUNC(0.08559*(K66-600)^1.41)</f>
        <v>999</v>
      </c>
      <c r="L67" s="51">
        <f>TRUNC(1.84523*(L66-75)^1.348)</f>
        <v>1003</v>
      </c>
      <c r="M67" s="51">
        <f>TRUNC(0.44125*(M66-100)^1.35)</f>
        <v>996</v>
      </c>
      <c r="N67" s="51">
        <f>TRUNC(12.3311*(N66-3)^1.1)</f>
        <v>1000</v>
      </c>
      <c r="O67" s="51">
        <f>TRUNC(56.0211*(O66-1.5)^1.05)</f>
        <v>1001</v>
      </c>
      <c r="P67" s="51">
        <f>TRUNC(15.9803*(P66-3.8)^1.04)</f>
        <v>1000</v>
      </c>
      <c r="Q67" s="51">
        <f>TRUNC(17.5458*(Q66-6)^1.05)</f>
        <v>1000</v>
      </c>
      <c r="R67" s="51">
        <f>TRUNC(52.1403*(R66-1.5)^1.05)</f>
        <v>1001</v>
      </c>
      <c r="S67" s="51">
        <f>TRUNC(9.23076*(26.7-S66)^1.835)</f>
        <v>1000</v>
      </c>
      <c r="T67" s="51">
        <f>TRUNC(1.348*(103-T66)^1.81)</f>
        <v>1000</v>
      </c>
      <c r="U67" s="51">
        <f>TRUNC(0.02883*(535-U66)^1.88)</f>
        <v>1000</v>
      </c>
      <c r="V67" s="57" t="s">
        <v>68</v>
      </c>
      <c r="W67" s="57" t="s">
        <v>62</v>
      </c>
      <c r="X67" s="82">
        <v>1000</v>
      </c>
      <c r="Y67" s="82">
        <v>1000</v>
      </c>
      <c r="Z67" s="82">
        <v>1000</v>
      </c>
      <c r="AA67" s="82">
        <v>1000</v>
      </c>
      <c r="AB67" s="82">
        <v>1000</v>
      </c>
    </row>
    <row r="68" spans="1:28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53"/>
      <c r="T68" s="48"/>
      <c r="U68" s="48"/>
      <c r="V68" s="38"/>
      <c r="W68" s="38"/>
      <c r="X68" s="17"/>
      <c r="Y68" s="17"/>
      <c r="Z68" s="17"/>
      <c r="AA68" s="17"/>
      <c r="AB68" s="17"/>
    </row>
    <row r="69" spans="1:28" x14ac:dyDescent="0.2">
      <c r="A69" s="4">
        <v>90</v>
      </c>
      <c r="B69" s="45">
        <v>19.54</v>
      </c>
      <c r="C69" s="46">
        <v>41.57</v>
      </c>
      <c r="D69" s="45">
        <v>109</v>
      </c>
      <c r="E69" s="46">
        <v>254</v>
      </c>
      <c r="F69" s="45">
        <v>513</v>
      </c>
      <c r="G69" s="45">
        <v>1084.2</v>
      </c>
      <c r="H69" s="45">
        <v>1936</v>
      </c>
      <c r="I69" s="45">
        <v>4066</v>
      </c>
      <c r="J69" s="47">
        <v>268</v>
      </c>
      <c r="K69" s="45">
        <v>566</v>
      </c>
      <c r="L69" s="47">
        <v>98</v>
      </c>
      <c r="M69" s="45">
        <v>159</v>
      </c>
      <c r="N69" s="46">
        <v>17.68</v>
      </c>
      <c r="O69" s="46">
        <v>7.09</v>
      </c>
      <c r="P69" s="46">
        <v>17.13</v>
      </c>
      <c r="Q69" s="46">
        <v>18.760000000000002</v>
      </c>
      <c r="R69" s="46">
        <v>8.0299999999999994</v>
      </c>
      <c r="S69" s="46">
        <v>24.35</v>
      </c>
      <c r="T69" s="45">
        <v>64.05</v>
      </c>
      <c r="U69" s="45">
        <v>672</v>
      </c>
      <c r="V69" s="55" t="s">
        <v>65</v>
      </c>
      <c r="W69" s="55" t="s">
        <v>59</v>
      </c>
      <c r="X69" s="79">
        <v>27.3</v>
      </c>
      <c r="Y69" s="79">
        <v>46.35</v>
      </c>
      <c r="Z69" s="79">
        <v>97</v>
      </c>
      <c r="AA69" s="79">
        <v>159</v>
      </c>
      <c r="AB69" s="79">
        <v>348</v>
      </c>
    </row>
    <row r="70" spans="1:28" x14ac:dyDescent="0.2">
      <c r="A70" s="2"/>
      <c r="B70" s="59">
        <v>0.60109999999999997</v>
      </c>
      <c r="C70" s="59">
        <v>0.57230000000000003</v>
      </c>
      <c r="D70" s="59">
        <v>0.4869</v>
      </c>
      <c r="E70" s="59">
        <v>0.50239999999999996</v>
      </c>
      <c r="F70" s="59">
        <v>0.496</v>
      </c>
      <c r="G70" s="59">
        <v>0.50670000000000004</v>
      </c>
      <c r="H70" s="59">
        <v>0.4975</v>
      </c>
      <c r="I70" s="59">
        <v>0.499</v>
      </c>
      <c r="J70" s="59">
        <v>2.4192999999999998</v>
      </c>
      <c r="K70" s="59">
        <v>2.4157000000000002</v>
      </c>
      <c r="L70" s="59">
        <v>1.8509</v>
      </c>
      <c r="M70" s="59">
        <v>2.5533000000000001</v>
      </c>
      <c r="N70" s="59">
        <v>3.2477</v>
      </c>
      <c r="O70" s="59">
        <v>2.4079000000000002</v>
      </c>
      <c r="P70" s="59">
        <v>3.3386999999999998</v>
      </c>
      <c r="Q70" s="59">
        <v>2.8273000000000001</v>
      </c>
      <c r="R70" s="59">
        <v>2.2646999999999999</v>
      </c>
      <c r="S70" s="59">
        <v>0.56859999999999999</v>
      </c>
      <c r="T70" s="59">
        <v>1.0063</v>
      </c>
      <c r="U70" s="59">
        <v>0.40870000000000001</v>
      </c>
      <c r="V70" s="60" t="s">
        <v>66</v>
      </c>
      <c r="W70" s="60" t="s">
        <v>60</v>
      </c>
      <c r="X70" s="76">
        <v>0.53639999999999999</v>
      </c>
      <c r="Y70" s="76">
        <v>0.54690000000000005</v>
      </c>
      <c r="Z70" s="76">
        <v>0.53869999999999996</v>
      </c>
      <c r="AA70" s="76">
        <v>0.48159999999999997</v>
      </c>
      <c r="AB70" s="76">
        <v>0.47789999999999999</v>
      </c>
    </row>
    <row r="71" spans="1:28" x14ac:dyDescent="0.2">
      <c r="A71" s="2"/>
      <c r="B71" s="49">
        <f t="shared" ref="B71:I71" si="24">+ROUNDUP((B69*B70),2)</f>
        <v>11.75</v>
      </c>
      <c r="C71" s="49">
        <f t="shared" si="24"/>
        <v>23.8</v>
      </c>
      <c r="D71" s="49">
        <f t="shared" si="24"/>
        <v>53.08</v>
      </c>
      <c r="E71" s="49">
        <f t="shared" si="24"/>
        <v>127.61</v>
      </c>
      <c r="F71" s="49">
        <f t="shared" si="24"/>
        <v>254.45</v>
      </c>
      <c r="G71" s="49">
        <f t="shared" si="24"/>
        <v>549.37</v>
      </c>
      <c r="H71" s="49">
        <f t="shared" si="24"/>
        <v>963.16</v>
      </c>
      <c r="I71" s="49">
        <f t="shared" si="24"/>
        <v>2028.94</v>
      </c>
      <c r="J71" s="50">
        <f>+TRUNC((J69*J70),0)</f>
        <v>648</v>
      </c>
      <c r="K71" s="50">
        <f>+TRUNC((K69*K70),0)</f>
        <v>1367</v>
      </c>
      <c r="L71" s="50">
        <f>+TRUNC((L69*L70),0)</f>
        <v>181</v>
      </c>
      <c r="M71" s="50">
        <f>+TRUNC((M69*M70),0)</f>
        <v>405</v>
      </c>
      <c r="N71" s="49">
        <f>+TRUNC((N69*N70),2)</f>
        <v>57.41</v>
      </c>
      <c r="O71" s="49">
        <f>+TRUNC((O69*O70),2)</f>
        <v>17.07</v>
      </c>
      <c r="P71" s="49">
        <f>+TRUNC((P69*P70),2)</f>
        <v>57.19</v>
      </c>
      <c r="Q71" s="49">
        <f>+TRUNC((Q69*Q70),2)</f>
        <v>53.04</v>
      </c>
      <c r="R71" s="49">
        <f>+TRUNC((R69*R70),2)</f>
        <v>18.18</v>
      </c>
      <c r="S71" s="49">
        <f>+ROUNDUP((S69*S70),2)</f>
        <v>13.85</v>
      </c>
      <c r="T71" s="49">
        <f>+ROUNDUP((T69*T70),2)</f>
        <v>64.460000000000008</v>
      </c>
      <c r="U71" s="49">
        <f>+ROUNDUP((U69*U70),2)</f>
        <v>274.64999999999998</v>
      </c>
      <c r="V71" s="56" t="s">
        <v>67</v>
      </c>
      <c r="W71" s="56" t="s">
        <v>61</v>
      </c>
      <c r="X71" s="81">
        <f t="shared" ref="X71:AB71" si="25">+ROUNDUP((X69*X70),2)</f>
        <v>14.65</v>
      </c>
      <c r="Y71" s="81">
        <f t="shared" si="25"/>
        <v>25.35</v>
      </c>
      <c r="Z71" s="81">
        <f t="shared" si="25"/>
        <v>52.26</v>
      </c>
      <c r="AA71" s="81">
        <f t="shared" si="25"/>
        <v>76.58</v>
      </c>
      <c r="AB71" s="81">
        <f t="shared" si="25"/>
        <v>166.31</v>
      </c>
    </row>
    <row r="72" spans="1:28" x14ac:dyDescent="0.2">
      <c r="A72" s="37"/>
      <c r="B72" s="51">
        <f>TRUNC(17.857*(21-B71)^1.81)</f>
        <v>1001</v>
      </c>
      <c r="C72" s="51">
        <f>TRUNC(4.99087*(42.5-C71)^1.81)</f>
        <v>1000</v>
      </c>
      <c r="D72" s="51">
        <f>TRUNC(1.34285*(91.7-D71)^1.81)</f>
        <v>1000</v>
      </c>
      <c r="E72" s="51">
        <f>TRUNC(0.11193*(254-E71)^1.88)</f>
        <v>1000</v>
      </c>
      <c r="F72" s="51">
        <f>TRUNC(0.06039*(430-F71)^1.88)</f>
        <v>1001</v>
      </c>
      <c r="G72" s="51">
        <f>TRUNC(0.01409*(930-G71)^1.88)</f>
        <v>1000</v>
      </c>
      <c r="H72" s="51">
        <f>TRUNC(0.00491*(1630-H71)^1.88)</f>
        <v>1000</v>
      </c>
      <c r="I72" s="51">
        <f>TRUNC(0.00111*(3500-I71)^1.88)</f>
        <v>1001</v>
      </c>
      <c r="J72" s="51">
        <f>TRUNC(0.188807*(J71-210)^1.41)</f>
        <v>1001</v>
      </c>
      <c r="K72" s="51">
        <f>TRUNC(0.08559*(K71-600)^1.41)</f>
        <v>999</v>
      </c>
      <c r="L72" s="51">
        <f>TRUNC(1.84523*(L71-75)^1.348)</f>
        <v>991</v>
      </c>
      <c r="M72" s="51">
        <f>TRUNC(0.44125*(M71-100)^1.35)</f>
        <v>996</v>
      </c>
      <c r="N72" s="51">
        <f>TRUNC(12.3311*(N71-3)^1.1)</f>
        <v>1000</v>
      </c>
      <c r="O72" s="51">
        <f>TRUNC(56.0211*(O71-1.5)^1.05)</f>
        <v>1000</v>
      </c>
      <c r="P72" s="51">
        <f>TRUNC(15.9803*(P71-3.8)^1.04)</f>
        <v>1000</v>
      </c>
      <c r="Q72" s="51">
        <f>TRUNC(17.5458*(Q71-6)^1.05)</f>
        <v>1000</v>
      </c>
      <c r="R72" s="51">
        <f>TRUNC(52.1403*(R71-1.5)^1.05)</f>
        <v>1001</v>
      </c>
      <c r="S72" s="51">
        <f>TRUNC(9.23076*(26.7-S71)^1.835)</f>
        <v>1000</v>
      </c>
      <c r="T72" s="51">
        <f>TRUNC(1.348*(103-T71)^1.81)</f>
        <v>1000</v>
      </c>
      <c r="U72" s="51">
        <f>TRUNC(0.02883*(535-U71)^1.88)</f>
        <v>1002</v>
      </c>
      <c r="V72" s="57" t="s">
        <v>68</v>
      </c>
      <c r="W72" s="57" t="s">
        <v>62</v>
      </c>
      <c r="X72" s="82">
        <v>1000</v>
      </c>
      <c r="Y72" s="82">
        <v>1000</v>
      </c>
      <c r="Z72" s="82">
        <v>1000</v>
      </c>
      <c r="AA72" s="82">
        <v>1000</v>
      </c>
      <c r="AB72" s="82">
        <v>1000</v>
      </c>
    </row>
    <row r="73" spans="1:28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53"/>
      <c r="T73" s="48"/>
      <c r="U73" s="48"/>
      <c r="V73" s="38"/>
      <c r="W73" s="38"/>
      <c r="X73" s="83"/>
      <c r="Y73" s="83"/>
      <c r="Z73" s="83"/>
      <c r="AA73" s="83"/>
      <c r="AB73" s="83"/>
    </row>
    <row r="74" spans="1:28" x14ac:dyDescent="0.2">
      <c r="A74" s="4">
        <v>95</v>
      </c>
      <c r="B74" s="45">
        <v>22.16</v>
      </c>
      <c r="C74" s="46">
        <v>48.37</v>
      </c>
      <c r="D74" s="45">
        <v>129.74</v>
      </c>
      <c r="E74" s="46">
        <v>304.60000000000002</v>
      </c>
      <c r="F74" s="45">
        <v>620</v>
      </c>
      <c r="G74" s="45">
        <v>1307</v>
      </c>
      <c r="H74" s="45">
        <v>2342</v>
      </c>
      <c r="I74" s="45">
        <v>4930</v>
      </c>
      <c r="J74" s="47">
        <v>218</v>
      </c>
      <c r="K74" s="45">
        <v>462</v>
      </c>
      <c r="L74" s="47">
        <v>88</v>
      </c>
      <c r="M74" s="45">
        <v>126</v>
      </c>
      <c r="N74" s="46">
        <v>14.05</v>
      </c>
      <c r="O74" s="46">
        <v>5.77</v>
      </c>
      <c r="P74" s="46">
        <v>13.68</v>
      </c>
      <c r="Q74" s="46">
        <v>14.67</v>
      </c>
      <c r="R74" s="46">
        <v>6.33</v>
      </c>
      <c r="S74" s="46">
        <v>30.14</v>
      </c>
      <c r="T74" s="45">
        <v>78.849999999999994</v>
      </c>
      <c r="U74" s="45">
        <v>835</v>
      </c>
      <c r="V74" s="55" t="s">
        <v>65</v>
      </c>
      <c r="W74" s="55" t="s">
        <v>59</v>
      </c>
      <c r="X74" s="79">
        <v>29.5</v>
      </c>
      <c r="Y74" s="79">
        <v>50.2</v>
      </c>
      <c r="Z74" s="79">
        <v>105</v>
      </c>
      <c r="AA74" s="79">
        <v>174</v>
      </c>
      <c r="AB74" s="79">
        <v>388</v>
      </c>
    </row>
    <row r="75" spans="1:28" x14ac:dyDescent="0.2">
      <c r="A75" s="2"/>
      <c r="B75" s="59">
        <v>0.5302</v>
      </c>
      <c r="C75" s="59">
        <v>0.49199999999999999</v>
      </c>
      <c r="D75" s="59">
        <v>0.40899999999999997</v>
      </c>
      <c r="E75" s="59">
        <v>0.41880000000000001</v>
      </c>
      <c r="F75" s="59">
        <v>0.41020000000000001</v>
      </c>
      <c r="G75" s="59">
        <v>0.4204</v>
      </c>
      <c r="H75" s="59">
        <v>0.41120000000000001</v>
      </c>
      <c r="I75" s="59">
        <v>0.41160000000000002</v>
      </c>
      <c r="J75" s="59">
        <v>2.9746000000000001</v>
      </c>
      <c r="K75" s="59">
        <v>2.9605999999999999</v>
      </c>
      <c r="L75" s="59">
        <v>2.0785</v>
      </c>
      <c r="M75" s="59">
        <v>3.2130000000000001</v>
      </c>
      <c r="N75" s="59">
        <v>4.0861000000000001</v>
      </c>
      <c r="O75" s="59">
        <v>2.9630999999999998</v>
      </c>
      <c r="P75" s="59">
        <v>4.1829999999999998</v>
      </c>
      <c r="Q75" s="59">
        <v>3.6160999999999999</v>
      </c>
      <c r="R75" s="59">
        <v>2.8706</v>
      </c>
      <c r="S75" s="59">
        <v>0.4592</v>
      </c>
      <c r="T75" s="59">
        <v>0.81730000000000003</v>
      </c>
      <c r="U75" s="59">
        <v>0.32900000000000001</v>
      </c>
      <c r="V75" s="60" t="s">
        <v>66</v>
      </c>
      <c r="W75" s="60" t="s">
        <v>60</v>
      </c>
      <c r="X75" s="76">
        <v>0.49299999999999999</v>
      </c>
      <c r="Y75" s="76">
        <v>0.49769999999999998</v>
      </c>
      <c r="Z75" s="76">
        <v>0.48820000000000002</v>
      </c>
      <c r="AA75" s="76">
        <v>0.39350000000000002</v>
      </c>
      <c r="AB75" s="76">
        <v>0.38550000000000001</v>
      </c>
    </row>
    <row r="76" spans="1:28" x14ac:dyDescent="0.2">
      <c r="A76" s="2"/>
      <c r="B76" s="49">
        <f t="shared" ref="B76:I76" si="26">+ROUNDUP((B74*B75),2)</f>
        <v>11.75</v>
      </c>
      <c r="C76" s="49">
        <f t="shared" si="26"/>
        <v>23.8</v>
      </c>
      <c r="D76" s="49">
        <f t="shared" si="26"/>
        <v>53.07</v>
      </c>
      <c r="E76" s="49">
        <f t="shared" si="26"/>
        <v>127.57000000000001</v>
      </c>
      <c r="F76" s="49">
        <f t="shared" si="26"/>
        <v>254.32999999999998</v>
      </c>
      <c r="G76" s="49">
        <f t="shared" si="26"/>
        <v>549.47</v>
      </c>
      <c r="H76" s="49">
        <f t="shared" si="26"/>
        <v>963.04</v>
      </c>
      <c r="I76" s="49">
        <f t="shared" si="26"/>
        <v>2029.19</v>
      </c>
      <c r="J76" s="50">
        <f>+TRUNC((J74*J75),0)</f>
        <v>648</v>
      </c>
      <c r="K76" s="50">
        <f>+TRUNC((K74*K75),0)</f>
        <v>1367</v>
      </c>
      <c r="L76" s="50">
        <f>+TRUNC((L74*L75),0)</f>
        <v>182</v>
      </c>
      <c r="M76" s="50">
        <f>+TRUNC((M74*M75),0)</f>
        <v>404</v>
      </c>
      <c r="N76" s="49">
        <f>+TRUNC((N74*N75),2)</f>
        <v>57.4</v>
      </c>
      <c r="O76" s="49">
        <f>+TRUNC((O74*O75),2)</f>
        <v>17.09</v>
      </c>
      <c r="P76" s="49">
        <f>+TRUNC((P74*P75),2)</f>
        <v>57.22</v>
      </c>
      <c r="Q76" s="49">
        <f>+TRUNC((Q74*Q75),2)</f>
        <v>53.04</v>
      </c>
      <c r="R76" s="49">
        <f>+TRUNC((R74*R75),2)</f>
        <v>18.170000000000002</v>
      </c>
      <c r="S76" s="49">
        <f>+ROUNDUP((S74*S75),2)</f>
        <v>13.85</v>
      </c>
      <c r="T76" s="49">
        <f>+ROUNDUP((T74*T75),2)</f>
        <v>64.45</v>
      </c>
      <c r="U76" s="49">
        <f>+ROUNDUP((U74*U75),2)</f>
        <v>274.71999999999997</v>
      </c>
      <c r="V76" s="56" t="s">
        <v>67</v>
      </c>
      <c r="W76" s="56" t="s">
        <v>61</v>
      </c>
      <c r="X76" s="81">
        <f t="shared" ref="X76:AB76" si="27">+ROUNDUP((X74*X75),2)</f>
        <v>14.549999999999999</v>
      </c>
      <c r="Y76" s="81">
        <f t="shared" si="27"/>
        <v>24.990000000000002</v>
      </c>
      <c r="Z76" s="81">
        <f t="shared" si="27"/>
        <v>51.269999999999996</v>
      </c>
      <c r="AA76" s="81">
        <f t="shared" si="27"/>
        <v>68.47</v>
      </c>
      <c r="AB76" s="81">
        <f t="shared" si="27"/>
        <v>149.57999999999998</v>
      </c>
    </row>
    <row r="77" spans="1:28" x14ac:dyDescent="0.2">
      <c r="A77" s="37"/>
      <c r="B77" s="51">
        <f>TRUNC(17.857*(21-B76)^1.81)</f>
        <v>1001</v>
      </c>
      <c r="C77" s="51">
        <f>TRUNC(4.99087*(42.5-C76)^1.81)</f>
        <v>1000</v>
      </c>
      <c r="D77" s="51">
        <f>TRUNC(1.34285*(91.7-D76)^1.81)</f>
        <v>1000</v>
      </c>
      <c r="E77" s="51">
        <f>TRUNC(0.11193*(254-E76)^1.88)</f>
        <v>1000</v>
      </c>
      <c r="F77" s="51">
        <f>TRUNC(0.06039*(430-F76)^1.88)</f>
        <v>1002</v>
      </c>
      <c r="G77" s="51">
        <f>TRUNC(0.01409*(930-G76)^1.88)</f>
        <v>1000</v>
      </c>
      <c r="H77" s="51">
        <f>TRUNC(0.00491*(1630-H76)^1.88)</f>
        <v>1000</v>
      </c>
      <c r="I77" s="51">
        <f>TRUNC(0.00111*(3500-I76)^1.88)</f>
        <v>1000</v>
      </c>
      <c r="J77" s="51">
        <f>TRUNC(0.188807*(J76-210)^1.41)</f>
        <v>1001</v>
      </c>
      <c r="K77" s="51">
        <f>TRUNC(0.08559*(K76-600)^1.41)</f>
        <v>999</v>
      </c>
      <c r="L77" s="51">
        <f>TRUNC(1.84523*(L76-75)^1.348)</f>
        <v>1003</v>
      </c>
      <c r="M77" s="51">
        <f>TRUNC(0.44125*(M76-100)^1.35)</f>
        <v>992</v>
      </c>
      <c r="N77" s="51">
        <f>TRUNC(12.3311*(N76-3)^1.1)</f>
        <v>1000</v>
      </c>
      <c r="O77" s="51">
        <f>TRUNC(56.0211*(O76-1.5)^1.05)</f>
        <v>1001</v>
      </c>
      <c r="P77" s="51">
        <f>TRUNC(15.9803*(P76-3.8)^1.04)</f>
        <v>1000</v>
      </c>
      <c r="Q77" s="51">
        <f>TRUNC(17.5458*(Q76-6)^1.05)</f>
        <v>1000</v>
      </c>
      <c r="R77" s="51">
        <f>TRUNC(52.1403*(R76-1.5)^1.05)</f>
        <v>1000</v>
      </c>
      <c r="S77" s="51">
        <f>TRUNC(9.23076*(26.7-S76)^1.835)</f>
        <v>1000</v>
      </c>
      <c r="T77" s="51">
        <f>TRUNC(1.348*(103-T76)^1.81)</f>
        <v>1000</v>
      </c>
      <c r="U77" s="51">
        <f>TRUNC(0.02883*(535-U76)^1.88)</f>
        <v>1002</v>
      </c>
      <c r="V77" s="57" t="s">
        <v>68</v>
      </c>
      <c r="W77" s="57" t="s">
        <v>62</v>
      </c>
      <c r="X77" s="82">
        <v>1000</v>
      </c>
      <c r="Y77" s="82">
        <v>1000</v>
      </c>
      <c r="Z77" s="82">
        <v>1000</v>
      </c>
      <c r="AA77" s="82">
        <v>1000</v>
      </c>
      <c r="AB77" s="82">
        <v>1000</v>
      </c>
    </row>
    <row r="78" spans="1:28" x14ac:dyDescent="0.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53"/>
      <c r="T78" s="48"/>
      <c r="U78" s="48"/>
      <c r="V78" s="38"/>
      <c r="W78" s="38"/>
      <c r="X78" s="83"/>
      <c r="Y78" s="83"/>
      <c r="Z78" s="83"/>
      <c r="AA78" s="83"/>
      <c r="AB78" s="83"/>
    </row>
    <row r="79" spans="1:28" x14ac:dyDescent="0.2">
      <c r="A79" s="4" t="s">
        <v>9</v>
      </c>
      <c r="B79" s="45">
        <v>26.32</v>
      </c>
      <c r="C79" s="46">
        <v>60.02</v>
      </c>
      <c r="D79" s="45">
        <v>164.88</v>
      </c>
      <c r="E79" s="46">
        <v>394</v>
      </c>
      <c r="F79" s="45">
        <v>815</v>
      </c>
      <c r="G79" s="45">
        <v>1732</v>
      </c>
      <c r="H79" s="45">
        <v>3128</v>
      </c>
      <c r="I79" s="45">
        <v>6629</v>
      </c>
      <c r="J79" s="47">
        <v>162</v>
      </c>
      <c r="K79" s="45">
        <v>344</v>
      </c>
      <c r="L79" s="47">
        <v>75</v>
      </c>
      <c r="M79" s="45">
        <v>90</v>
      </c>
      <c r="N79" s="46">
        <v>10.5</v>
      </c>
      <c r="O79" s="46">
        <v>4.45</v>
      </c>
      <c r="P79" s="46">
        <v>10.26</v>
      </c>
      <c r="Q79" s="46">
        <v>10.66</v>
      </c>
      <c r="R79" s="46">
        <v>4.6500000000000004</v>
      </c>
      <c r="S79" s="46">
        <v>40.97</v>
      </c>
      <c r="T79" s="45">
        <v>106.75</v>
      </c>
      <c r="U79" s="45">
        <v>1132</v>
      </c>
      <c r="V79" s="55" t="s">
        <v>65</v>
      </c>
      <c r="W79" s="55" t="s">
        <v>59</v>
      </c>
      <c r="X79" s="79">
        <v>32.200000000000003</v>
      </c>
      <c r="Y79" s="79">
        <v>54.2</v>
      </c>
      <c r="Z79" s="79">
        <v>111.3</v>
      </c>
      <c r="AA79" s="79">
        <v>189</v>
      </c>
      <c r="AB79" s="79">
        <v>410</v>
      </c>
    </row>
    <row r="80" spans="1:28" x14ac:dyDescent="0.2">
      <c r="A80" s="2"/>
      <c r="B80" s="59">
        <v>0.44640000000000002</v>
      </c>
      <c r="C80" s="59">
        <v>0.39650000000000002</v>
      </c>
      <c r="D80" s="59">
        <v>0.32190000000000002</v>
      </c>
      <c r="E80" s="59">
        <v>0.32390000000000002</v>
      </c>
      <c r="F80" s="59">
        <v>0.31219999999999998</v>
      </c>
      <c r="G80" s="59">
        <v>0.31709999999999999</v>
      </c>
      <c r="H80" s="59">
        <v>0.30790000000000001</v>
      </c>
      <c r="I80" s="59">
        <v>0.30599999999999999</v>
      </c>
      <c r="J80" s="59">
        <v>4.0010000000000003</v>
      </c>
      <c r="K80" s="59">
        <v>3.9719000000000002</v>
      </c>
      <c r="L80" s="59">
        <v>2.4405999999999999</v>
      </c>
      <c r="M80" s="59">
        <v>4.4938000000000002</v>
      </c>
      <c r="N80" s="59">
        <v>5.4702000000000002</v>
      </c>
      <c r="O80" s="59">
        <v>3.8399000000000001</v>
      </c>
      <c r="P80" s="59">
        <v>5.5753000000000004</v>
      </c>
      <c r="Q80" s="59">
        <v>4.9753999999999996</v>
      </c>
      <c r="R80" s="59">
        <v>3.9056000000000002</v>
      </c>
      <c r="S80" s="59">
        <v>0.33789999999999998</v>
      </c>
      <c r="T80" s="59">
        <v>0.6038</v>
      </c>
      <c r="U80" s="59">
        <v>0.24260000000000001</v>
      </c>
      <c r="V80" s="60" t="s">
        <v>66</v>
      </c>
      <c r="W80" s="60" t="s">
        <v>60</v>
      </c>
      <c r="X80" s="76">
        <v>0.44419999999999998</v>
      </c>
      <c r="Y80" s="76">
        <v>0.44180000000000003</v>
      </c>
      <c r="Z80" s="76">
        <v>0.4299</v>
      </c>
      <c r="AA80" s="76">
        <v>0.2888</v>
      </c>
      <c r="AB80" s="76">
        <v>0.2767</v>
      </c>
    </row>
    <row r="81" spans="1:28" x14ac:dyDescent="0.2">
      <c r="A81" s="2"/>
      <c r="B81" s="49">
        <f t="shared" ref="B81:I81" si="28">+ROUNDUP((B79*B80),2)</f>
        <v>11.75</v>
      </c>
      <c r="C81" s="49">
        <f t="shared" si="28"/>
        <v>23.8</v>
      </c>
      <c r="D81" s="49">
        <f t="shared" si="28"/>
        <v>53.08</v>
      </c>
      <c r="E81" s="49">
        <f t="shared" si="28"/>
        <v>127.62</v>
      </c>
      <c r="F81" s="49">
        <f t="shared" si="28"/>
        <v>254.45</v>
      </c>
      <c r="G81" s="49">
        <f t="shared" si="28"/>
        <v>549.22</v>
      </c>
      <c r="H81" s="49">
        <f t="shared" si="28"/>
        <v>963.12</v>
      </c>
      <c r="I81" s="49">
        <f t="shared" si="28"/>
        <v>2028.48</v>
      </c>
      <c r="J81" s="50">
        <f>+TRUNC((J79*J80),0)</f>
        <v>648</v>
      </c>
      <c r="K81" s="50">
        <f>+TRUNC((K79*K80),0)</f>
        <v>1366</v>
      </c>
      <c r="L81" s="50">
        <f>+TRUNC((L79*L80),0)</f>
        <v>183</v>
      </c>
      <c r="M81" s="50">
        <f>+TRUNC((M79*M80),0)</f>
        <v>404</v>
      </c>
      <c r="N81" s="49">
        <f>+TRUNC((N79*N80),2)</f>
        <v>57.43</v>
      </c>
      <c r="O81" s="49">
        <f>+TRUNC((O79*O80),2)</f>
        <v>17.079999999999998</v>
      </c>
      <c r="P81" s="49">
        <f>+TRUNC((P79*P80),2)</f>
        <v>57.2</v>
      </c>
      <c r="Q81" s="49">
        <f>+TRUNC((Q79*Q80),2)</f>
        <v>53.03</v>
      </c>
      <c r="R81" s="49">
        <f>+TRUNC((R79*R80),2)</f>
        <v>18.16</v>
      </c>
      <c r="S81" s="49">
        <f>+ROUNDUP((S79*S80),2)</f>
        <v>13.85</v>
      </c>
      <c r="T81" s="49">
        <f>+ROUNDUP((T79*T80),2)</f>
        <v>64.460000000000008</v>
      </c>
      <c r="U81" s="49">
        <f>+ROUNDUP((U79*U80),2)</f>
        <v>274.63</v>
      </c>
      <c r="V81" s="56" t="s">
        <v>67</v>
      </c>
      <c r="W81" s="56" t="s">
        <v>61</v>
      </c>
      <c r="X81" s="81">
        <f t="shared" ref="X81:AB81" si="29">+ROUNDUP((X79*X80),2)</f>
        <v>14.31</v>
      </c>
      <c r="Y81" s="81">
        <f t="shared" si="29"/>
        <v>23.950000000000003</v>
      </c>
      <c r="Z81" s="81">
        <f t="shared" si="29"/>
        <v>47.85</v>
      </c>
      <c r="AA81" s="81">
        <f t="shared" si="29"/>
        <v>54.589999999999996</v>
      </c>
      <c r="AB81" s="81">
        <f t="shared" si="29"/>
        <v>113.45</v>
      </c>
    </row>
    <row r="82" spans="1:28" x14ac:dyDescent="0.2">
      <c r="A82" s="37"/>
      <c r="B82" s="51">
        <f>TRUNC(17.857*(21-B81)^1.81)</f>
        <v>1001</v>
      </c>
      <c r="C82" s="51">
        <f>TRUNC(4.99087*(42.5-C81)^1.81)</f>
        <v>1000</v>
      </c>
      <c r="D82" s="51">
        <f>TRUNC(1.34285*(91.7-D81)^1.81)</f>
        <v>1000</v>
      </c>
      <c r="E82" s="51">
        <f>TRUNC(0.11193*(254-E81)^1.88)</f>
        <v>1000</v>
      </c>
      <c r="F82" s="51">
        <f>TRUNC(0.06039*(430-F81)^1.88)</f>
        <v>1001</v>
      </c>
      <c r="G82" s="51">
        <f>TRUNC(0.01409*(930-G81)^1.88)</f>
        <v>1001</v>
      </c>
      <c r="H82" s="51">
        <f>TRUNC(0.00491*(1630-H81)^1.88)</f>
        <v>1000</v>
      </c>
      <c r="I82" s="51">
        <f>TRUNC(0.00111*(3500-I81)^1.88)</f>
        <v>1001</v>
      </c>
      <c r="J82" s="51">
        <f>TRUNC(0.188807*(J81-210)^1.41)</f>
        <v>1001</v>
      </c>
      <c r="K82" s="51">
        <f>TRUNC(0.08559*(K81-600)^1.41)</f>
        <v>998</v>
      </c>
      <c r="L82" s="51">
        <f>TRUNC(1.84523*(L81-75)^1.348)</f>
        <v>1016</v>
      </c>
      <c r="M82" s="51">
        <f>TRUNC(0.44125*(M81-100)^1.35)</f>
        <v>992</v>
      </c>
      <c r="N82" s="51">
        <f>TRUNC(12.3311*(N81-3)^1.1)</f>
        <v>1000</v>
      </c>
      <c r="O82" s="51">
        <f>TRUNC(56.0211*(O81-1.5)^1.05)</f>
        <v>1001</v>
      </c>
      <c r="P82" s="51">
        <f>TRUNC(15.9803*(P81-3.8)^1.04)</f>
        <v>1000</v>
      </c>
      <c r="Q82" s="51">
        <f>TRUNC(17.5458*(Q81-6)^1.05)</f>
        <v>1000</v>
      </c>
      <c r="R82" s="51">
        <f>TRUNC(52.1403*(R81-1.5)^1.05)</f>
        <v>999</v>
      </c>
      <c r="S82" s="51">
        <f>TRUNC(9.23076*(26.7-S81)^1.835)</f>
        <v>1000</v>
      </c>
      <c r="T82" s="51">
        <f>TRUNC(1.348*(103-T81)^1.81)</f>
        <v>1000</v>
      </c>
      <c r="U82" s="51">
        <f>TRUNC(0.02883*(535-U81)^1.88)</f>
        <v>1002</v>
      </c>
      <c r="V82" s="57" t="s">
        <v>68</v>
      </c>
      <c r="W82" s="57" t="s">
        <v>62</v>
      </c>
      <c r="X82" s="82">
        <v>1000</v>
      </c>
      <c r="Y82" s="82">
        <v>1000</v>
      </c>
      <c r="Z82" s="82">
        <v>1000</v>
      </c>
      <c r="AA82" s="82">
        <v>1000</v>
      </c>
      <c r="AB82" s="82">
        <v>1000</v>
      </c>
    </row>
    <row r="83" spans="1:28" ht="15" x14ac:dyDescent="0.25">
      <c r="X83" s="85"/>
      <c r="Y83" s="85"/>
      <c r="Z83" s="85"/>
      <c r="AA83" s="85"/>
      <c r="AB83" s="85"/>
    </row>
  </sheetData>
  <mergeCells count="7">
    <mergeCell ref="X4:AB4"/>
    <mergeCell ref="X5:AB6"/>
    <mergeCell ref="N2:R2"/>
    <mergeCell ref="B1:U1"/>
    <mergeCell ref="B8:U8"/>
    <mergeCell ref="E2:H2"/>
    <mergeCell ref="J2:M2"/>
  </mergeCells>
  <pageMargins left="0.7" right="0.7" top="0.75" bottom="0.75" header="0.3" footer="0.3"/>
  <pageSetup paperSize="9" orientation="portrait" r:id="rId1"/>
  <ignoredErrors>
    <ignoredError sqref="T12" formula="1"/>
    <ignoredError sqref="K1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M-5ottelu</vt:lpstr>
      <vt:lpstr>W-5ottelu</vt:lpstr>
      <vt:lpstr>MIEHET</vt:lpstr>
      <vt:lpstr>M-halli7-ottelu</vt:lpstr>
      <vt:lpstr>NAISET</vt:lpstr>
    </vt:vector>
  </TitlesOfParts>
  <Company>EKE-Electronics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 Karasmaa</dc:creator>
  <cp:lastModifiedBy>Oki Vuonoranta</cp:lastModifiedBy>
  <cp:lastPrinted>2010-01-14T01:18:36Z</cp:lastPrinted>
  <dcterms:created xsi:type="dcterms:W3CDTF">2001-08-20T05:54:28Z</dcterms:created>
  <dcterms:modified xsi:type="dcterms:W3CDTF">2023-06-09T12:42:42Z</dcterms:modified>
</cp:coreProperties>
</file>