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8525" windowHeight="6600" tabRatio="865" activeTab="0"/>
  </bookViews>
  <sheets>
    <sheet name="Yleistä" sheetId="1" r:id="rId1"/>
    <sheet name="10-ottelu" sheetId="2" r:id="rId2"/>
    <sheet name="M-5ottelu" sheetId="3" r:id="rId3"/>
    <sheet name="M-H5ottelu" sheetId="4" r:id="rId4"/>
    <sheet name="W-7ottelu" sheetId="5" r:id="rId5"/>
    <sheet name="W-5ottelu" sheetId="6" r:id="rId6"/>
    <sheet name="W-H5ottelu" sheetId="7" r:id="rId7"/>
    <sheet name="M-halli7-ottelu" sheetId="8" r:id="rId8"/>
    <sheet name="M-halli5-ottelu" sheetId="9" r:id="rId9"/>
    <sheet name="W-halli5-ottelu" sheetId="10" r:id="rId10"/>
  </sheets>
  <definedNames/>
  <calcPr fullCalcOnLoad="1"/>
</workbook>
</file>

<file path=xl/sharedStrings.xml><?xml version="1.0" encoding="utf-8"?>
<sst xmlns="http://schemas.openxmlformats.org/spreadsheetml/2006/main" count="213" uniqueCount="123">
  <si>
    <t xml:space="preserve"> </t>
  </si>
  <si>
    <t>Korkeus</t>
  </si>
  <si>
    <t>Kuula</t>
  </si>
  <si>
    <t>200m</t>
  </si>
  <si>
    <t>Pituus</t>
  </si>
  <si>
    <t>Keihäs</t>
  </si>
  <si>
    <t>800m</t>
  </si>
  <si>
    <t>Kansainvälinen</t>
  </si>
  <si>
    <t>Kotimainen</t>
  </si>
  <si>
    <t>100+</t>
  </si>
  <si>
    <t>kansainvälinen</t>
  </si>
  <si>
    <t>kotimainen</t>
  </si>
  <si>
    <t>Yhteensä</t>
  </si>
  <si>
    <t>Moukari</t>
  </si>
  <si>
    <t>Kiekko</t>
  </si>
  <si>
    <t>Paino</t>
  </si>
  <si>
    <t>Pika-aidat</t>
  </si>
  <si>
    <t>1500m</t>
  </si>
  <si>
    <t>100m</t>
  </si>
  <si>
    <t>400m</t>
  </si>
  <si>
    <t>Aidat</t>
  </si>
  <si>
    <t>Seiväs</t>
  </si>
  <si>
    <t>Oheisiin laskentataulukoihin on rakennettu laskukaavat, jotka muuntavat tehdyn</t>
  </si>
  <si>
    <t>esim:</t>
  </si>
  <si>
    <t>Sarja:</t>
  </si>
  <si>
    <t>&lt; laji</t>
  </si>
  <si>
    <t>&lt; urheilijat tekemä tulos</t>
  </si>
  <si>
    <t>&lt; WMA:n virallinen sarjakohtainen ikäkerroin</t>
  </si>
  <si>
    <t>&lt; ikäkertoimella muunnettu tulos</t>
  </si>
  <si>
    <t>&lt; tuloksen pisteet</t>
  </si>
  <si>
    <t>Oheisen taulukon olen laatinut itseäni varten Suomen ennätysten tarkistamista varten,</t>
  </si>
  <si>
    <t>mutta kätevä Excel-käyttäjä voi näppärästi kehittää tästä ottelukilpailujen tuloslaskimen.</t>
  </si>
  <si>
    <t>Huom:</t>
  </si>
  <si>
    <t>…hyppyjen tulokset tulee syöttää sentteinä, heittojen tulokset metreinä, ja juoksujen sekunteina, (ei minuutteina).</t>
  </si>
  <si>
    <t>Yhteystietoni ovat:</t>
  </si>
  <si>
    <t>Email:</t>
  </si>
  <si>
    <t>georg.dunkel@kolumbus.fi</t>
  </si>
  <si>
    <t>60m</t>
  </si>
  <si>
    <t>60mAJ</t>
  </si>
  <si>
    <t>1000m</t>
  </si>
  <si>
    <t>R.Häyrinen</t>
  </si>
  <si>
    <t>H.Suominen</t>
  </si>
  <si>
    <t>K.Wichmann</t>
  </si>
  <si>
    <t>J.Eriksson</t>
  </si>
  <si>
    <t>M.Metsänkylä</t>
  </si>
  <si>
    <t>K.Poutiainen</t>
  </si>
  <si>
    <t>M.Pessa</t>
  </si>
  <si>
    <t>T.Kokkonen</t>
  </si>
  <si>
    <t>E.Leppänen</t>
  </si>
  <si>
    <t>J.Multanen</t>
  </si>
  <si>
    <t>R. Korpelainen</t>
  </si>
  <si>
    <t>L.Kyrö</t>
  </si>
  <si>
    <t>J.Tenhu</t>
  </si>
  <si>
    <t>S-L.Ruuskanen</t>
  </si>
  <si>
    <t>K.Partti</t>
  </si>
  <si>
    <t>K.Marila</t>
  </si>
  <si>
    <t>P.Eriksson</t>
  </si>
  <si>
    <t>P.Penttilä</t>
  </si>
  <si>
    <t>M.Leskelä</t>
  </si>
  <si>
    <t>M.Rautasalo</t>
  </si>
  <si>
    <t>T.Jokinen</t>
  </si>
  <si>
    <t>A.Kautto</t>
  </si>
  <si>
    <t>E.Hämäläinen</t>
  </si>
  <si>
    <t>E.Haapalainen</t>
  </si>
  <si>
    <t>T.Suomalainen</t>
  </si>
  <si>
    <t>E.Ranta</t>
  </si>
  <si>
    <t>R.Högnäs</t>
  </si>
  <si>
    <t>S.Hjelm</t>
  </si>
  <si>
    <t>L.Saarinen</t>
  </si>
  <si>
    <t>E.Eriksson</t>
  </si>
  <si>
    <t>H.Lönnroth</t>
  </si>
  <si>
    <t>K.Jatkola</t>
  </si>
  <si>
    <t>I.Sokero</t>
  </si>
  <si>
    <t>I.Lehtonen</t>
  </si>
  <si>
    <t>J.Kivistö</t>
  </si>
  <si>
    <t>R.Puikkonen</t>
  </si>
  <si>
    <t>H.Huhta-Koivosto</t>
  </si>
  <si>
    <t>K.Jortikka</t>
  </si>
  <si>
    <t>A.Korkeila</t>
  </si>
  <si>
    <t>veteraanituloksen ikäkertoimella, ja antaa muunnetulle tulokselle pisteet yleisen pistetaulukon mukaan.</t>
  </si>
  <si>
    <t>Laskukaavoissa on käytetty WMA:n edellyttämiä tulosten ja pisteiden pyöristyssääntöjä.</t>
  </si>
  <si>
    <t>A.Savolainen</t>
  </si>
  <si>
    <t>K.Kuusela</t>
  </si>
  <si>
    <t>O.Villanen</t>
  </si>
  <si>
    <t>K.Koro</t>
  </si>
  <si>
    <t>S.Rannema</t>
  </si>
  <si>
    <t>K.Siekkinen</t>
  </si>
  <si>
    <t>J.Lipasti</t>
  </si>
  <si>
    <t>D.Collaku</t>
  </si>
  <si>
    <t>P.Granö</t>
  </si>
  <si>
    <t>J.Olli</t>
  </si>
  <si>
    <t>T.Hautala</t>
  </si>
  <si>
    <t>K.Byggmaster</t>
  </si>
  <si>
    <t>J.Suomalainen</t>
  </si>
  <si>
    <t>T.Rajamäki</t>
  </si>
  <si>
    <t>Kirsti Siekkinen</t>
  </si>
  <si>
    <t>J. Multanen</t>
  </si>
  <si>
    <t>Timo Malinen</t>
  </si>
  <si>
    <t>Sami Siren</t>
  </si>
  <si>
    <t>Kirsti Viitanen</t>
  </si>
  <si>
    <t>Esko Kuutti</t>
  </si>
  <si>
    <t>31,98</t>
  </si>
  <si>
    <t>K.Viitanen</t>
  </si>
  <si>
    <t>Myös vanhemmat SE-sarjat on muunnettu 1.1.2014 WMA:n uusilla kertoimilla!</t>
  </si>
  <si>
    <t>WMA on muuttanut moniottelujen ikäkertoimia 2014</t>
  </si>
  <si>
    <t>Miesten Halli 7-ottelu WMA:n vuoden 2014 ikäkertoimilla</t>
  </si>
  <si>
    <t>C.Hellberg</t>
  </si>
  <si>
    <t>Naisten Halli-5-ottelu, vuoden 2014 ikäkertoimilla.</t>
  </si>
  <si>
    <t>Miesten Halli 5-ottelu WMA:n vuoden 2014 ikäkertoimilla</t>
  </si>
  <si>
    <t>Naisten Heittoviisiottelu, vuoden 2014 ikäkertoimilla.</t>
  </si>
  <si>
    <t>Naisten 5-ottelu, vuoden 2014 ikäkertoimilla.</t>
  </si>
  <si>
    <t>Naisten 7-ottelu WMA:n vuoden 2014 ikäkertoimilla</t>
  </si>
  <si>
    <t xml:space="preserve">5451 </t>
  </si>
  <si>
    <t>5587</t>
  </si>
  <si>
    <t>4096</t>
  </si>
  <si>
    <t>4755</t>
  </si>
  <si>
    <t>3608</t>
  </si>
  <si>
    <t>Miesten Heittoviisiottelu, vuoden 2014 ikäkertoimilla.</t>
  </si>
  <si>
    <t>Miesten 5-ottelu, vuoden 2014 ikäkertoimilla.</t>
  </si>
  <si>
    <t>T.Malinen</t>
  </si>
  <si>
    <t>Muuttuneiden kertoimien solun taustat on värjätty vaalen vihreällä:</t>
  </si>
  <si>
    <t>Miesten 10-ottelu WMA:n vuoden 2014 ikäkertoimilla</t>
  </si>
  <si>
    <t>K.Westerlund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</si>
</sst>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"/>
    <numFmt numFmtId="184" formatCode="_-* #,##0.0000\ _m_k_-;\-* #,##0.0000\ _m_k_-;_-* &quot;-&quot;????\ _m_k_-;_-@_-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8" borderId="2" applyNumberForma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2" applyNumberFormat="0" applyAlignment="0" applyProtection="0"/>
    <xf numFmtId="0" fontId="47" fillId="31" borderId="8" applyNumberFormat="0" applyAlignment="0" applyProtection="0"/>
    <xf numFmtId="0" fontId="48" fillId="28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69" fontId="0" fillId="0" borderId="0" xfId="53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53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71" fontId="1" fillId="0" borderId="0" xfId="52" applyFont="1" applyAlignment="1">
      <alignment horizontal="center"/>
    </xf>
    <xf numFmtId="169" fontId="1" fillId="0" borderId="0" xfId="53" applyFont="1" applyAlignment="1">
      <alignment horizontal="center"/>
    </xf>
    <xf numFmtId="18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52" applyFont="1" applyAlignment="1">
      <alignment horizontal="center"/>
    </xf>
    <xf numFmtId="171" fontId="0" fillId="0" borderId="0" xfId="52" applyFont="1" applyAlignment="1">
      <alignment horizontal="center"/>
    </xf>
    <xf numFmtId="18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0" fillId="0" borderId="0" xfId="53" applyNumberFormat="1" applyFont="1" applyAlignment="1">
      <alignment horizontal="center"/>
    </xf>
    <xf numFmtId="0" fontId="2" fillId="0" borderId="0" xfId="0" applyFont="1" applyAlignment="1">
      <alignment/>
    </xf>
    <xf numFmtId="0" fontId="0" fillId="32" borderId="0" xfId="0" applyFill="1" applyAlignment="1">
      <alignment horizontal="center"/>
    </xf>
    <xf numFmtId="0" fontId="0" fillId="0" borderId="0" xfId="0" applyAlignment="1" quotePrefix="1">
      <alignment/>
    </xf>
    <xf numFmtId="0" fontId="0" fillId="4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52" applyFont="1" applyFill="1" applyAlignment="1">
      <alignment horizontal="center"/>
    </xf>
    <xf numFmtId="169" fontId="1" fillId="0" borderId="0" xfId="53" applyFont="1" applyFill="1" applyAlignment="1">
      <alignment horizontal="center"/>
    </xf>
    <xf numFmtId="0" fontId="0" fillId="0" borderId="0" xfId="53" applyNumberFormat="1" applyFont="1" applyFill="1" applyAlignment="1">
      <alignment horizontal="center"/>
    </xf>
    <xf numFmtId="171" fontId="1" fillId="0" borderId="0" xfId="52" applyFont="1" applyFill="1" applyAlignment="1">
      <alignment horizontal="center"/>
    </xf>
    <xf numFmtId="0" fontId="1" fillId="4" borderId="0" xfId="0" applyFont="1" applyFill="1" applyAlignment="1" quotePrefix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center"/>
    </xf>
    <xf numFmtId="171" fontId="1" fillId="33" borderId="0" xfId="52" applyFont="1" applyFill="1" applyAlignment="1">
      <alignment horizontal="center"/>
    </xf>
    <xf numFmtId="0" fontId="0" fillId="33" borderId="0" xfId="0" applyFill="1" applyAlignment="1">
      <alignment horizontal="center"/>
    </xf>
    <xf numFmtId="171" fontId="0" fillId="33" borderId="0" xfId="52" applyFont="1" applyFill="1" applyAlignment="1">
      <alignment horizontal="center"/>
    </xf>
    <xf numFmtId="169" fontId="1" fillId="33" borderId="0" xfId="53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169" fontId="0" fillId="0" borderId="0" xfId="0" applyNumberFormat="1" applyFont="1" applyAlignment="1">
      <alignment/>
    </xf>
    <xf numFmtId="169" fontId="50" fillId="0" borderId="0" xfId="0" applyNumberFormat="1" applyFont="1" applyAlignment="1">
      <alignment/>
    </xf>
    <xf numFmtId="171" fontId="51" fillId="0" borderId="0" xfId="52" applyFont="1" applyAlignment="1">
      <alignment horizontal="center"/>
    </xf>
    <xf numFmtId="169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 quotePrefix="1">
      <alignment horizontal="center"/>
    </xf>
    <xf numFmtId="0" fontId="53" fillId="0" borderId="0" xfId="0" applyFont="1" applyAlignment="1" quotePrefix="1">
      <alignment horizontal="right"/>
    </xf>
    <xf numFmtId="0" fontId="54" fillId="0" borderId="0" xfId="0" applyFont="1" applyAlignment="1" quotePrefix="1">
      <alignment horizontal="left"/>
    </xf>
    <xf numFmtId="169" fontId="0" fillId="0" borderId="0" xfId="53" applyFont="1" applyAlignment="1">
      <alignment horizontal="center"/>
    </xf>
    <xf numFmtId="171" fontId="55" fillId="0" borderId="0" xfId="52" applyFont="1" applyAlignment="1">
      <alignment horizontal="center"/>
    </xf>
    <xf numFmtId="0" fontId="0" fillId="0" borderId="0" xfId="0" applyFont="1" applyAlignment="1" quotePrefix="1">
      <alignment/>
    </xf>
    <xf numFmtId="171" fontId="1" fillId="0" borderId="0" xfId="52" applyFont="1" applyAlignment="1" quotePrefix="1">
      <alignment horizontal="center"/>
    </xf>
    <xf numFmtId="169" fontId="0" fillId="0" borderId="0" xfId="0" applyNumberFormat="1" applyFont="1" applyAlignment="1" quotePrefix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5" borderId="0" xfId="0" applyFill="1" applyAlignment="1">
      <alignment horizontal="center"/>
    </xf>
    <xf numFmtId="169" fontId="1" fillId="7" borderId="0" xfId="53" applyFont="1" applyFill="1" applyAlignment="1">
      <alignment horizontal="center"/>
    </xf>
    <xf numFmtId="0" fontId="0" fillId="0" borderId="0" xfId="0" applyAlignment="1">
      <alignment horizontal="left"/>
    </xf>
    <xf numFmtId="169" fontId="0" fillId="7" borderId="0" xfId="0" applyNumberFormat="1" applyFill="1" applyAlignment="1">
      <alignment/>
    </xf>
    <xf numFmtId="169" fontId="0" fillId="7" borderId="0" xfId="0" applyNumberFormat="1" applyFont="1" applyFill="1" applyAlignment="1">
      <alignment/>
    </xf>
    <xf numFmtId="0" fontId="0" fillId="34" borderId="10" xfId="0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1.7109375" style="0" customWidth="1"/>
  </cols>
  <sheetData>
    <row r="2" spans="1:11" ht="26.25">
      <c r="A2" s="31" t="s">
        <v>104</v>
      </c>
      <c r="B2" s="29"/>
      <c r="C2" s="29"/>
      <c r="D2" s="29"/>
      <c r="E2" s="29"/>
      <c r="F2" s="30"/>
      <c r="G2" s="30"/>
      <c r="H2" s="30"/>
      <c r="I2" s="30"/>
      <c r="J2" s="30"/>
      <c r="K2" s="30"/>
    </row>
    <row r="3" ht="12.75">
      <c r="A3" s="6"/>
    </row>
    <row r="4" ht="12.75">
      <c r="A4" t="s">
        <v>22</v>
      </c>
    </row>
    <row r="5" ht="12.75">
      <c r="A5" t="s">
        <v>79</v>
      </c>
    </row>
    <row r="7" ht="12.75">
      <c r="A7" t="s">
        <v>23</v>
      </c>
    </row>
    <row r="8" spans="1:4" ht="12.75">
      <c r="A8" s="18" t="s">
        <v>24</v>
      </c>
      <c r="B8" s="18" t="s">
        <v>18</v>
      </c>
      <c r="C8" s="18" t="s">
        <v>4</v>
      </c>
      <c r="D8" s="19" t="s">
        <v>25</v>
      </c>
    </row>
    <row r="9" spans="1:4" ht="12.75">
      <c r="A9" s="10">
        <v>40</v>
      </c>
      <c r="B9" s="7">
        <v>12.4</v>
      </c>
      <c r="C9" s="8">
        <v>605</v>
      </c>
      <c r="D9" s="19" t="s">
        <v>26</v>
      </c>
    </row>
    <row r="10" spans="1:4" ht="12.75">
      <c r="A10" s="2"/>
      <c r="B10" s="2">
        <v>0.9578</v>
      </c>
      <c r="C10" s="2">
        <v>1.0899</v>
      </c>
      <c r="D10" s="19" t="s">
        <v>27</v>
      </c>
    </row>
    <row r="11" spans="1:4" ht="12.75">
      <c r="A11" s="2"/>
      <c r="B11" s="11">
        <f>+ROUNDUP((B9*B10),2)</f>
        <v>11.879999999999999</v>
      </c>
      <c r="C11" s="1">
        <f>+TRUNC((C9*C10),0)</f>
        <v>659</v>
      </c>
      <c r="D11" s="19" t="s">
        <v>28</v>
      </c>
    </row>
    <row r="12" spans="1:4" ht="12.75">
      <c r="A12" s="8"/>
      <c r="B12" s="8">
        <f>TRUNC(25.4347*(18-B11)^1.81)</f>
        <v>675</v>
      </c>
      <c r="C12" s="8">
        <f>TRUNC(0.14354*(C11-220)^1.4)</f>
        <v>718</v>
      </c>
      <c r="D12" s="19" t="s">
        <v>29</v>
      </c>
    </row>
    <row r="13" ht="12.75">
      <c r="A13" t="s">
        <v>32</v>
      </c>
    </row>
    <row r="14" ht="12.75">
      <c r="A14" s="19" t="s">
        <v>33</v>
      </c>
    </row>
    <row r="16" ht="12.75">
      <c r="A16" t="s">
        <v>80</v>
      </c>
    </row>
    <row r="17" ht="12.75">
      <c r="A17" t="s">
        <v>30</v>
      </c>
    </row>
    <row r="18" ht="12.75">
      <c r="A18" t="s">
        <v>31</v>
      </c>
    </row>
    <row r="20" spans="1:12" ht="15.75">
      <c r="A20" s="32" t="s">
        <v>103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7" ht="12.75">
      <c r="A21" s="67" t="s">
        <v>120</v>
      </c>
      <c r="B21" s="68"/>
      <c r="C21" s="68"/>
      <c r="D21" s="68"/>
      <c r="E21" s="68"/>
      <c r="F21" s="68"/>
      <c r="G21" s="66">
        <v>0.9578</v>
      </c>
    </row>
    <row r="23" ht="12.75">
      <c r="A23" t="s">
        <v>34</v>
      </c>
    </row>
    <row r="24" spans="1:2" ht="12.75">
      <c r="A24" t="s">
        <v>35</v>
      </c>
      <c r="B24" t="s">
        <v>36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1">
      <pane ySplit="1215" topLeftCell="A1" activePane="bottomLeft" state="split"/>
      <selection pane="topLeft" activeCell="A2" sqref="A2"/>
      <selection pane="bottomLeft" activeCell="E11" sqref="E11"/>
    </sheetView>
  </sheetViews>
  <sheetFormatPr defaultColWidth="9.140625" defaultRowHeight="12.75"/>
  <cols>
    <col min="1" max="1" width="9.28125" style="0" bestFit="1" customWidth="1"/>
    <col min="2" max="2" width="10.00390625" style="0" bestFit="1" customWidth="1"/>
    <col min="3" max="4" width="12.28125" style="0" customWidth="1"/>
    <col min="5" max="5" width="12.57421875" style="0" customWidth="1"/>
    <col min="6" max="6" width="13.140625" style="0" customWidth="1"/>
    <col min="7" max="7" width="13.421875" style="0" customWidth="1"/>
    <col min="8" max="8" width="16.140625" style="0" customWidth="1"/>
  </cols>
  <sheetData>
    <row r="1" ht="15.75">
      <c r="A1" s="17" t="s">
        <v>107</v>
      </c>
    </row>
    <row r="3" spans="2:7" ht="12.75">
      <c r="B3" s="27" t="s">
        <v>38</v>
      </c>
      <c r="C3" s="27" t="s">
        <v>1</v>
      </c>
      <c r="D3" s="27" t="s">
        <v>2</v>
      </c>
      <c r="E3" s="27" t="s">
        <v>4</v>
      </c>
      <c r="F3" s="27" t="s">
        <v>6</v>
      </c>
      <c r="G3" s="2"/>
    </row>
    <row r="4" spans="2:7" ht="12.75">
      <c r="B4" s="2"/>
      <c r="C4" s="2"/>
      <c r="D4" s="2"/>
      <c r="E4" s="2"/>
      <c r="F4" s="2"/>
      <c r="G4" s="2"/>
    </row>
    <row r="5" spans="1:7" ht="12.75">
      <c r="A5" s="10">
        <v>30</v>
      </c>
      <c r="B5" s="7">
        <v>9.57</v>
      </c>
      <c r="C5" s="8">
        <v>146</v>
      </c>
      <c r="D5" s="7">
        <v>11.11</v>
      </c>
      <c r="E5" s="8">
        <v>519</v>
      </c>
      <c r="F5" s="7">
        <v>165.93</v>
      </c>
      <c r="G5" s="2"/>
    </row>
    <row r="6" spans="1:7" ht="12.75">
      <c r="A6" s="2"/>
      <c r="B6" s="2">
        <v>1</v>
      </c>
      <c r="C6" s="2">
        <v>1</v>
      </c>
      <c r="D6" s="2">
        <v>1</v>
      </c>
      <c r="E6" s="2">
        <v>1</v>
      </c>
      <c r="F6" s="2">
        <v>1</v>
      </c>
      <c r="G6" s="2"/>
    </row>
    <row r="7" spans="1:7" ht="12.75">
      <c r="A7" s="2"/>
      <c r="B7" s="11">
        <f>+ROUNDUP((B5*B6),2)</f>
        <v>9.57</v>
      </c>
      <c r="C7" s="1">
        <f>+TRUNC((C5*C6),0)</f>
        <v>146</v>
      </c>
      <c r="D7" s="11">
        <f>+TRUNC((D5*D6),2)</f>
        <v>11.11</v>
      </c>
      <c r="E7" s="1">
        <f>+TRUNC((E5*E6),0)</f>
        <v>519</v>
      </c>
      <c r="F7" s="11">
        <f>+ROUNDUP((F5*F6),2)</f>
        <v>165.93</v>
      </c>
      <c r="G7" s="2"/>
    </row>
    <row r="8" spans="1:7" ht="12.75">
      <c r="A8" s="1"/>
      <c r="B8" s="8">
        <f>TRUNC(20.0479*(17-B7)^1.835)</f>
        <v>794</v>
      </c>
      <c r="C8" s="8">
        <f>TRUNC(1.84523*(C7-75)^1.348)</f>
        <v>577</v>
      </c>
      <c r="D8" s="8">
        <f>TRUNC(56.0211*(D7-1.5)^1.05)</f>
        <v>602</v>
      </c>
      <c r="E8" s="8">
        <f>TRUNC(0.188807*(E7-210)^1.41)</f>
        <v>612</v>
      </c>
      <c r="F8" s="8">
        <f>TRUNC(0.11193*(254-F7)^1.88)</f>
        <v>507</v>
      </c>
      <c r="G8" s="2"/>
    </row>
    <row r="9" spans="2:7" ht="12.75">
      <c r="B9" s="2"/>
      <c r="C9" s="2"/>
      <c r="D9" s="2"/>
      <c r="E9" s="2"/>
      <c r="F9" s="2"/>
      <c r="G9" s="2"/>
    </row>
    <row r="10" spans="1:14" ht="12.75">
      <c r="A10" s="10">
        <v>35</v>
      </c>
      <c r="B10" s="7">
        <v>9.57</v>
      </c>
      <c r="C10" s="8">
        <v>146</v>
      </c>
      <c r="D10" s="7">
        <v>11.11</v>
      </c>
      <c r="E10" s="8">
        <v>502</v>
      </c>
      <c r="F10" s="7">
        <v>165.93</v>
      </c>
      <c r="G10" s="2"/>
      <c r="J10" s="7"/>
      <c r="K10" s="8"/>
      <c r="L10" s="7"/>
      <c r="M10" s="8"/>
      <c r="N10" s="7"/>
    </row>
    <row r="11" spans="1:7" ht="12.75">
      <c r="A11" s="2"/>
      <c r="B11" s="2">
        <v>0.9644</v>
      </c>
      <c r="C11" s="2">
        <v>1.0512</v>
      </c>
      <c r="D11" s="2">
        <v>1.0368</v>
      </c>
      <c r="E11" s="61">
        <v>1.05</v>
      </c>
      <c r="F11" s="2">
        <v>0.9951</v>
      </c>
      <c r="G11" s="2"/>
    </row>
    <row r="12" spans="1:7" ht="12.75">
      <c r="A12" s="2"/>
      <c r="B12" s="11">
        <f>+ROUNDUP((B10*B11),2)</f>
        <v>9.23</v>
      </c>
      <c r="C12" s="1">
        <f>+TRUNC((C10*C11),0)</f>
        <v>153</v>
      </c>
      <c r="D12" s="11">
        <f>+TRUNC((D10*D11),2)</f>
        <v>11.51</v>
      </c>
      <c r="E12" s="1">
        <f>+TRUNC((E10*E11),0)</f>
        <v>527</v>
      </c>
      <c r="F12" s="11">
        <f>+ROUNDUP((F10*F11),2)</f>
        <v>165.12</v>
      </c>
      <c r="G12" s="2"/>
    </row>
    <row r="13" spans="1:8" ht="12.75">
      <c r="A13" s="1"/>
      <c r="B13" s="8">
        <f>TRUNC(20.0479*(17-B12)^1.835)</f>
        <v>862</v>
      </c>
      <c r="C13" s="8">
        <f>TRUNC(1.84523*(C12-75)^1.348)</f>
        <v>655</v>
      </c>
      <c r="D13" s="8">
        <f>TRUNC(56.0211*(D12-1.5)^1.05)</f>
        <v>629</v>
      </c>
      <c r="E13" s="8">
        <f>TRUNC(0.188807*(E12-210)^1.41)</f>
        <v>634</v>
      </c>
      <c r="F13" s="8">
        <f>TRUNC(0.11193*(254-F12)^1.88)</f>
        <v>516</v>
      </c>
      <c r="G13" s="8">
        <f>B13+C13+D13+E13+F13</f>
        <v>3296</v>
      </c>
      <c r="H13" s="42" t="s">
        <v>82</v>
      </c>
    </row>
    <row r="14" spans="2:7" ht="12.75">
      <c r="B14" s="16"/>
      <c r="C14" s="5"/>
      <c r="D14" s="5"/>
      <c r="E14" s="5"/>
      <c r="F14" s="5"/>
      <c r="G14" s="10"/>
    </row>
    <row r="15" spans="1:7" ht="12.75">
      <c r="A15" s="10">
        <v>40</v>
      </c>
      <c r="B15" s="7">
        <v>9.26</v>
      </c>
      <c r="C15" s="8">
        <v>157</v>
      </c>
      <c r="D15" s="7">
        <v>8.5</v>
      </c>
      <c r="E15" s="8">
        <v>519</v>
      </c>
      <c r="F15" s="7">
        <v>174.3</v>
      </c>
      <c r="G15" s="2"/>
    </row>
    <row r="16" spans="1:7" ht="12.75">
      <c r="A16" s="2"/>
      <c r="B16" s="2">
        <v>0.906</v>
      </c>
      <c r="C16" s="2">
        <v>1.1036</v>
      </c>
      <c r="D16" s="2">
        <v>1.11</v>
      </c>
      <c r="E16" s="2">
        <v>1.1101</v>
      </c>
      <c r="F16" s="2">
        <v>0.9537</v>
      </c>
      <c r="G16" s="2"/>
    </row>
    <row r="17" spans="1:7" ht="12.75">
      <c r="A17" s="2"/>
      <c r="B17" s="11">
        <f>+ROUNDUP((B15*B16),2)</f>
        <v>8.39</v>
      </c>
      <c r="C17" s="1">
        <f>+TRUNC((C15*C16),0)</f>
        <v>173</v>
      </c>
      <c r="D17" s="11">
        <f>+TRUNC((D15*D16),2)</f>
        <v>9.43</v>
      </c>
      <c r="E17" s="1">
        <f>+TRUNC((E15*E16),0)</f>
        <v>576</v>
      </c>
      <c r="F17" s="11">
        <f>+ROUNDUP((F15*F16),2)</f>
        <v>166.23</v>
      </c>
      <c r="G17" s="2"/>
    </row>
    <row r="18" spans="1:8" ht="12.75">
      <c r="A18" s="8"/>
      <c r="B18" s="8">
        <f>TRUNC(20.0479*(17-B17)^1.835)</f>
        <v>1041</v>
      </c>
      <c r="C18" s="8">
        <f>TRUNC(1.84523*(C17-75)^1.348)</f>
        <v>891</v>
      </c>
      <c r="D18" s="8">
        <f>TRUNC(56.0211*(D17-1.5)^1.05)</f>
        <v>492</v>
      </c>
      <c r="E18" s="8">
        <f>TRUNC(0.188807*(E17-210)^1.41)</f>
        <v>777</v>
      </c>
      <c r="F18" s="8">
        <f>TRUNC(0.11193*(254-F17)^1.88)</f>
        <v>504</v>
      </c>
      <c r="G18" s="8">
        <f>B18+C18+D18+E18+F18</f>
        <v>3705</v>
      </c>
      <c r="H18" s="42" t="s">
        <v>71</v>
      </c>
    </row>
    <row r="19" spans="1:7" ht="12.75">
      <c r="A19" s="6"/>
      <c r="B19" s="16"/>
      <c r="C19" s="5"/>
      <c r="D19" s="5"/>
      <c r="E19" s="2"/>
      <c r="F19" s="5"/>
      <c r="G19" s="10"/>
    </row>
    <row r="20" spans="1:7" ht="12.75">
      <c r="A20" s="10">
        <v>45</v>
      </c>
      <c r="B20" s="7">
        <v>9.97</v>
      </c>
      <c r="C20" s="8">
        <v>145</v>
      </c>
      <c r="D20" s="7">
        <v>10.25</v>
      </c>
      <c r="E20" s="8">
        <v>485</v>
      </c>
      <c r="F20" s="7">
        <f>2*60+58.63</f>
        <v>178.63</v>
      </c>
      <c r="G20" s="2"/>
    </row>
    <row r="21" spans="1:7" ht="12.75">
      <c r="A21" s="2"/>
      <c r="B21" s="2">
        <v>0.8965</v>
      </c>
      <c r="C21" s="2">
        <v>1.1614</v>
      </c>
      <c r="D21" s="2">
        <v>1.1943</v>
      </c>
      <c r="E21" s="2">
        <v>1.1776</v>
      </c>
      <c r="F21" s="2">
        <v>0.9123</v>
      </c>
      <c r="G21" s="2"/>
    </row>
    <row r="22" spans="1:7" ht="12.75">
      <c r="A22" s="2"/>
      <c r="B22" s="11">
        <f>+ROUNDUP((B20*B21),2)</f>
        <v>8.94</v>
      </c>
      <c r="C22" s="1">
        <f>+TRUNC((C20*C21),0)</f>
        <v>168</v>
      </c>
      <c r="D22" s="11">
        <f>+TRUNC((D20*D21),2)</f>
        <v>12.24</v>
      </c>
      <c r="E22" s="1">
        <f>+TRUNC((E20*E21),0)</f>
        <v>571</v>
      </c>
      <c r="F22" s="11">
        <f>+ROUNDUP((F20*F21),2)</f>
        <v>162.97</v>
      </c>
      <c r="G22" s="2"/>
    </row>
    <row r="23" spans="1:8" ht="12.75">
      <c r="A23" s="1"/>
      <c r="B23" s="8">
        <f>TRUNC(20.0479*(17-B22)^1.835)</f>
        <v>922</v>
      </c>
      <c r="C23" s="8">
        <f>TRUNC(1.84523*(C22-75)^1.348)</f>
        <v>830</v>
      </c>
      <c r="D23" s="8">
        <f>TRUNC(56.0211*(D22-1.5)^1.05)</f>
        <v>677</v>
      </c>
      <c r="E23" s="8">
        <f>TRUNC(0.188807*(E22-210)^1.41)</f>
        <v>762</v>
      </c>
      <c r="F23" s="8">
        <f>TRUNC(0.11193*(254-F22)^1.88)</f>
        <v>539</v>
      </c>
      <c r="G23" s="8">
        <f>B23+C23+D23+E23+F23</f>
        <v>3730</v>
      </c>
      <c r="H23" s="42" t="s">
        <v>86</v>
      </c>
    </row>
    <row r="24" spans="2:7" ht="12.75">
      <c r="B24" s="16"/>
      <c r="C24" s="3"/>
      <c r="D24" s="3"/>
      <c r="E24" s="3"/>
      <c r="F24" s="3"/>
      <c r="G24" s="2"/>
    </row>
    <row r="25" spans="1:12" ht="12.75">
      <c r="A25" s="10">
        <v>50</v>
      </c>
      <c r="B25" s="7">
        <v>10.79</v>
      </c>
      <c r="C25" s="8">
        <v>124</v>
      </c>
      <c r="D25" s="7">
        <v>8.31</v>
      </c>
      <c r="E25" s="8">
        <v>411</v>
      </c>
      <c r="F25" s="7">
        <f>3*60+7.13</f>
        <v>187.13</v>
      </c>
      <c r="G25" s="2"/>
      <c r="H25" s="7"/>
      <c r="I25" s="8"/>
      <c r="J25" s="7"/>
      <c r="K25" s="8"/>
      <c r="L25" s="7"/>
    </row>
    <row r="26" spans="1:7" ht="12.75">
      <c r="A26" s="2"/>
      <c r="B26" s="2">
        <v>0.8621</v>
      </c>
      <c r="C26" s="2">
        <v>1.2256</v>
      </c>
      <c r="D26" s="2">
        <v>1.2607</v>
      </c>
      <c r="E26" s="2">
        <v>1.2538</v>
      </c>
      <c r="F26" s="2">
        <v>0.8709</v>
      </c>
      <c r="G26" s="2"/>
    </row>
    <row r="27" spans="1:7" ht="12.75">
      <c r="A27" s="2"/>
      <c r="B27" s="11">
        <f>+ROUNDUP((B25*B26),2)</f>
        <v>9.31</v>
      </c>
      <c r="C27" s="1">
        <f>+TRUNC((C25*C26),0)</f>
        <v>151</v>
      </c>
      <c r="D27" s="11">
        <f>+TRUNC((D25*D26),2)</f>
        <v>10.47</v>
      </c>
      <c r="E27" s="1">
        <f>+TRUNC((E25*E26),0)</f>
        <v>515</v>
      </c>
      <c r="F27" s="11">
        <f>+ROUNDUP((F25*F26),2)</f>
        <v>162.98</v>
      </c>
      <c r="G27" s="2"/>
    </row>
    <row r="28" spans="1:8" ht="12.75">
      <c r="A28" s="1"/>
      <c r="B28" s="8">
        <f>TRUNC(20.0479*(17-B27)^1.835)</f>
        <v>846</v>
      </c>
      <c r="C28" s="8">
        <f>TRUNC(1.84523*(C27-75)^1.348)</f>
        <v>632</v>
      </c>
      <c r="D28" s="8">
        <f>TRUNC(56.0211*(D27-1.5)^1.05)</f>
        <v>560</v>
      </c>
      <c r="E28" s="8">
        <f>TRUNC(0.188807*(E27-210)^1.41)</f>
        <v>601</v>
      </c>
      <c r="F28" s="8">
        <f>TRUNC(0.11193*(254-F27)^1.88)</f>
        <v>539</v>
      </c>
      <c r="G28" s="8">
        <f>B28+C28+D28+E28+F28</f>
        <v>3178</v>
      </c>
      <c r="H28" t="s">
        <v>81</v>
      </c>
    </row>
    <row r="29" spans="2:7" ht="12.75">
      <c r="B29" s="16"/>
      <c r="C29" s="3"/>
      <c r="D29" s="3"/>
      <c r="E29" s="3"/>
      <c r="F29" s="3"/>
      <c r="G29" s="10"/>
    </row>
    <row r="30" spans="1:7" ht="12.75">
      <c r="A30" s="10">
        <v>55</v>
      </c>
      <c r="B30" s="7">
        <v>10.71</v>
      </c>
      <c r="C30" s="8">
        <v>126</v>
      </c>
      <c r="D30" s="7">
        <v>7.59</v>
      </c>
      <c r="E30" s="8">
        <v>412</v>
      </c>
      <c r="F30" s="7">
        <v>172.39</v>
      </c>
      <c r="G30" s="10"/>
    </row>
    <row r="31" spans="1:7" ht="12.75">
      <c r="A31" s="2"/>
      <c r="B31" s="2">
        <v>0.8277</v>
      </c>
      <c r="C31" s="2">
        <v>1.2973</v>
      </c>
      <c r="D31" s="2">
        <v>1.3706</v>
      </c>
      <c r="E31" s="2">
        <v>1.3405</v>
      </c>
      <c r="F31" s="2">
        <v>0.8295</v>
      </c>
      <c r="G31" s="10"/>
    </row>
    <row r="32" spans="1:7" ht="12.75">
      <c r="A32" s="2"/>
      <c r="B32" s="11">
        <f>+ROUNDUP((B30*B31),2)</f>
        <v>8.87</v>
      </c>
      <c r="C32" s="1">
        <f>+TRUNC((C30*C31),0)</f>
        <v>163</v>
      </c>
      <c r="D32" s="11">
        <f>+TRUNC((D30*D31),2)</f>
        <v>10.4</v>
      </c>
      <c r="E32" s="1">
        <f>+TRUNC((E30*E31),0)</f>
        <v>552</v>
      </c>
      <c r="F32" s="11">
        <f>+ROUNDUP((F30*F31),2)</f>
        <v>143</v>
      </c>
      <c r="G32" s="10"/>
    </row>
    <row r="33" spans="1:8" ht="12.75">
      <c r="A33" s="1"/>
      <c r="B33" s="8">
        <f>TRUNC(20.0479*(17-B32)^1.835)</f>
        <v>937</v>
      </c>
      <c r="C33" s="8">
        <f>TRUNC(1.84523*(C32-75)^1.348)</f>
        <v>771</v>
      </c>
      <c r="D33" s="8">
        <f>TRUNC(56.0211*(D32-1.5)^1.05)</f>
        <v>556</v>
      </c>
      <c r="E33" s="8">
        <f>TRUNC(0.188807*(E32-210)^1.41)</f>
        <v>706</v>
      </c>
      <c r="F33" s="8">
        <f>TRUNC(0.11193*(254-F32)^1.88)</f>
        <v>783</v>
      </c>
      <c r="G33" s="8">
        <f>B33+C33+D33+E33+F33</f>
        <v>3753</v>
      </c>
      <c r="H33" t="s">
        <v>47</v>
      </c>
    </row>
    <row r="34" spans="1:7" ht="12.75">
      <c r="A34" t="s">
        <v>0</v>
      </c>
      <c r="B34" s="16"/>
      <c r="C34" s="2"/>
      <c r="D34" s="2"/>
      <c r="E34" s="2"/>
      <c r="F34" s="2"/>
      <c r="G34" s="10"/>
    </row>
    <row r="35" spans="1:13" ht="12.75">
      <c r="A35" s="10">
        <v>60</v>
      </c>
      <c r="B35" s="7">
        <v>10.61</v>
      </c>
      <c r="C35" s="8">
        <v>124</v>
      </c>
      <c r="D35" s="7">
        <v>8.4</v>
      </c>
      <c r="E35" s="8">
        <v>386</v>
      </c>
      <c r="F35" s="7">
        <f>3*60+9.08</f>
        <v>189.08</v>
      </c>
      <c r="G35" s="10"/>
      <c r="I35" s="7"/>
      <c r="J35" s="8"/>
      <c r="K35" s="7"/>
      <c r="L35" s="8"/>
      <c r="M35" s="7"/>
    </row>
    <row r="36" spans="1:7" ht="12.75">
      <c r="A36" s="2"/>
      <c r="B36" s="21">
        <v>0.7923</v>
      </c>
      <c r="C36" s="2">
        <v>1.3779</v>
      </c>
      <c r="D36" s="2">
        <v>1.5015</v>
      </c>
      <c r="E36" s="2">
        <v>1.44</v>
      </c>
      <c r="F36" s="2">
        <v>0.7848</v>
      </c>
      <c r="G36" s="10"/>
    </row>
    <row r="37" spans="1:7" ht="12.75">
      <c r="A37" s="2"/>
      <c r="B37" s="11">
        <f>+ROUNDUP((B35*B36),2)</f>
        <v>8.41</v>
      </c>
      <c r="C37" s="1">
        <f>+TRUNC((C35*C36),0)</f>
        <v>170</v>
      </c>
      <c r="D37" s="11">
        <f>+TRUNC((D35*D36),2)</f>
        <v>12.61</v>
      </c>
      <c r="E37" s="1">
        <f>+TRUNC((E35*E36),0)</f>
        <v>555</v>
      </c>
      <c r="F37" s="11">
        <f>+ROUNDUP((F35*F36),2)</f>
        <v>148.39</v>
      </c>
      <c r="G37" s="10"/>
    </row>
    <row r="38" spans="1:8" ht="12.75">
      <c r="A38" s="1"/>
      <c r="B38" s="8">
        <f>TRUNC(20.0479*(17-B37)^1.835)</f>
        <v>1037</v>
      </c>
      <c r="C38" s="8">
        <f>TRUNC(1.84523*(C37-75)^1.348)</f>
        <v>855</v>
      </c>
      <c r="D38" s="8">
        <f>TRUNC(56.0211*(D37-1.5)^1.05)</f>
        <v>702</v>
      </c>
      <c r="E38" s="8">
        <f>TRUNC(0.188807*(E37-210)^1.41)</f>
        <v>715</v>
      </c>
      <c r="F38" s="8">
        <f>TRUNC(0.11193*(254-F37)^1.88)</f>
        <v>713</v>
      </c>
      <c r="G38" s="8">
        <f>B38+C38+D38+E38+F38</f>
        <v>4022</v>
      </c>
      <c r="H38" t="s">
        <v>47</v>
      </c>
    </row>
    <row r="39" spans="2:7" ht="12.75">
      <c r="B39" s="16"/>
      <c r="C39" s="3"/>
      <c r="D39" s="3"/>
      <c r="E39" s="3"/>
      <c r="F39" s="3"/>
      <c r="G39" s="10"/>
    </row>
    <row r="40" spans="1:13" ht="12.75">
      <c r="A40" s="10">
        <v>65</v>
      </c>
      <c r="B40" s="7">
        <v>12.6</v>
      </c>
      <c r="C40" s="8">
        <v>115</v>
      </c>
      <c r="D40" s="7">
        <v>6.14</v>
      </c>
      <c r="E40" s="8">
        <v>309</v>
      </c>
      <c r="F40" s="7">
        <f>3*60+41.49</f>
        <v>221.49</v>
      </c>
      <c r="I40" s="7"/>
      <c r="J40" s="8"/>
      <c r="K40" s="7"/>
      <c r="L40" s="8"/>
      <c r="M40" s="7"/>
    </row>
    <row r="41" spans="1:7" ht="12.75">
      <c r="A41" s="2"/>
      <c r="B41" s="2">
        <v>0.756</v>
      </c>
      <c r="C41" s="2">
        <v>1.4708</v>
      </c>
      <c r="D41" s="2">
        <v>1.66</v>
      </c>
      <c r="E41" s="2">
        <v>1.5557</v>
      </c>
      <c r="F41" s="2">
        <v>0.7342</v>
      </c>
      <c r="G41" s="10"/>
    </row>
    <row r="42" spans="1:7" ht="12.75">
      <c r="A42" s="2"/>
      <c r="B42" s="11">
        <f>+ROUNDUP((B40*B41),2)</f>
        <v>9.53</v>
      </c>
      <c r="C42" s="1">
        <f>+TRUNC((C40*C41),0)</f>
        <v>169</v>
      </c>
      <c r="D42" s="11">
        <f>+TRUNC((D40*D41),2)</f>
        <v>10.19</v>
      </c>
      <c r="E42" s="1">
        <f>+TRUNC((E40*E41),0)</f>
        <v>480</v>
      </c>
      <c r="F42" s="11">
        <f>+ROUNDUP((F40*F41),2)</f>
        <v>162.62</v>
      </c>
      <c r="G42" s="10"/>
    </row>
    <row r="43" spans="1:8" ht="12.75">
      <c r="A43" s="1"/>
      <c r="B43" s="8">
        <f>TRUNC(20.0479*(17-B42)^1.835)</f>
        <v>802</v>
      </c>
      <c r="C43" s="8">
        <f>TRUNC(1.84523*(C42-75)^1.348)</f>
        <v>842</v>
      </c>
      <c r="D43" s="8">
        <f>TRUNC(56.0211*(D42-1.5)^1.05)</f>
        <v>542</v>
      </c>
      <c r="E43" s="8">
        <f>TRUNC(0.188807*(E42-210)^1.41)</f>
        <v>506</v>
      </c>
      <c r="F43" s="8">
        <f>TRUNC(0.11193*(254-F42)^1.88)</f>
        <v>543</v>
      </c>
      <c r="G43" s="8">
        <f>B43+C43+D43+E43+F43</f>
        <v>3235</v>
      </c>
      <c r="H43" t="s">
        <v>53</v>
      </c>
    </row>
    <row r="44" spans="2:7" ht="12.75">
      <c r="B44" s="16"/>
      <c r="C44" s="2"/>
      <c r="D44" s="2"/>
      <c r="E44" s="2"/>
      <c r="F44" s="2"/>
      <c r="G44" s="2"/>
    </row>
    <row r="45" spans="1:7" ht="12.75">
      <c r="A45" s="10">
        <v>70</v>
      </c>
      <c r="B45" s="7">
        <v>12.6</v>
      </c>
      <c r="C45" s="8">
        <v>115</v>
      </c>
      <c r="D45" s="7">
        <v>6.14</v>
      </c>
      <c r="E45" s="8">
        <v>309</v>
      </c>
      <c r="F45" s="7">
        <f>3*60+41.49</f>
        <v>221.49</v>
      </c>
      <c r="G45" s="10"/>
    </row>
    <row r="46" spans="1:7" ht="12.75">
      <c r="A46" s="2"/>
      <c r="B46" s="2">
        <v>0.7184</v>
      </c>
      <c r="C46" s="2">
        <v>1.5795</v>
      </c>
      <c r="D46" s="2">
        <v>1.8559</v>
      </c>
      <c r="E46" s="2">
        <v>1.6943</v>
      </c>
      <c r="F46" s="2">
        <v>0.6752</v>
      </c>
      <c r="G46" s="10"/>
    </row>
    <row r="47" spans="1:7" ht="12.75">
      <c r="A47" s="2"/>
      <c r="B47" s="11">
        <f>+ROUNDUP((B45*B46),2)</f>
        <v>9.06</v>
      </c>
      <c r="C47" s="1">
        <f>+TRUNC((C45*C46),0)</f>
        <v>181</v>
      </c>
      <c r="D47" s="11">
        <f>+TRUNC((D45*D46),2)</f>
        <v>11.39</v>
      </c>
      <c r="E47" s="1">
        <f>+TRUNC((E45*E46),0)</f>
        <v>523</v>
      </c>
      <c r="F47" s="11">
        <f>+ROUNDUP((F45*F46),2)</f>
        <v>149.56</v>
      </c>
      <c r="G47" s="10"/>
    </row>
    <row r="48" spans="1:7" ht="12.75">
      <c r="A48" s="1"/>
      <c r="B48" s="8">
        <f>TRUNC(20.0479*(17-B47)^1.835)</f>
        <v>897</v>
      </c>
      <c r="C48" s="8">
        <f>TRUNC(1.84523*(C47-75)^1.348)</f>
        <v>991</v>
      </c>
      <c r="D48" s="8">
        <f>TRUNC(56.0211*(D47-1.5)^1.05)</f>
        <v>621</v>
      </c>
      <c r="E48" s="8">
        <f>TRUNC(0.188807*(E47-210)^1.41)</f>
        <v>623</v>
      </c>
      <c r="F48" s="8">
        <f>TRUNC(0.11193*(254-F47)^1.88)</f>
        <v>698</v>
      </c>
      <c r="G48" s="8">
        <f>B48+C48+D48+E48+F48</f>
        <v>3830</v>
      </c>
    </row>
    <row r="49" spans="2:7" ht="12.75">
      <c r="B49" s="16"/>
      <c r="C49" s="2"/>
      <c r="D49" s="2"/>
      <c r="E49" s="2"/>
      <c r="F49" s="2"/>
      <c r="G49" s="2"/>
    </row>
    <row r="50" spans="1:7" ht="12.75">
      <c r="A50" s="10">
        <v>75</v>
      </c>
      <c r="B50" s="7">
        <v>12.6</v>
      </c>
      <c r="C50" s="8">
        <v>115</v>
      </c>
      <c r="D50" s="7">
        <v>6.14</v>
      </c>
      <c r="E50" s="8">
        <v>309</v>
      </c>
      <c r="F50" s="7">
        <f>3*60+41.49</f>
        <v>221.49</v>
      </c>
      <c r="G50" s="10"/>
    </row>
    <row r="51" spans="1:7" ht="12.75">
      <c r="A51" s="2"/>
      <c r="B51" s="2">
        <v>0.6739</v>
      </c>
      <c r="C51" s="2">
        <v>1.7094</v>
      </c>
      <c r="D51" s="2">
        <v>1.8324</v>
      </c>
      <c r="E51" s="2">
        <v>1.8695</v>
      </c>
      <c r="F51" s="2">
        <v>0.6053</v>
      </c>
      <c r="G51" s="10"/>
    </row>
    <row r="52" spans="1:7" ht="12.75">
      <c r="A52" s="2"/>
      <c r="B52" s="11">
        <f>+ROUNDUP((B50*B51),2)</f>
        <v>8.5</v>
      </c>
      <c r="C52" s="1">
        <f>+TRUNC((C50*C51),0)</f>
        <v>196</v>
      </c>
      <c r="D52" s="11">
        <f>+TRUNC((D50*D51),2)</f>
        <v>11.25</v>
      </c>
      <c r="E52" s="1">
        <f>+TRUNC((E50*E51),0)</f>
        <v>577</v>
      </c>
      <c r="F52" s="11">
        <f>+ROUNDUP((F50*F51),2)</f>
        <v>134.07</v>
      </c>
      <c r="G52" s="10"/>
    </row>
    <row r="53" spans="1:7" ht="12.75">
      <c r="A53" s="1"/>
      <c r="B53" s="8">
        <f>TRUNC(20.0479*(17-B52)^1.835)</f>
        <v>1017</v>
      </c>
      <c r="C53" s="8">
        <f>TRUNC(1.84523*(C52-75)^1.348)</f>
        <v>1184</v>
      </c>
      <c r="D53" s="8">
        <f>TRUNC(56.0211*(D52-1.5)^1.05)</f>
        <v>612</v>
      </c>
      <c r="E53" s="8">
        <f>TRUNC(0.188807*(E52-210)^1.41)</f>
        <v>780</v>
      </c>
      <c r="F53" s="8">
        <f>TRUNC(0.11193*(254-F52)^1.88)</f>
        <v>906</v>
      </c>
      <c r="G53" s="8">
        <f>B53+C53+D53+E53+F53</f>
        <v>4499</v>
      </c>
    </row>
    <row r="54" spans="2:7" ht="12.75">
      <c r="B54" s="16"/>
      <c r="C54" s="2"/>
      <c r="D54" s="2"/>
      <c r="E54" s="2"/>
      <c r="F54" s="2"/>
      <c r="G54" s="2"/>
    </row>
    <row r="55" spans="1:7" ht="12.75">
      <c r="A55" s="10">
        <v>80</v>
      </c>
      <c r="B55" s="7">
        <v>12.6</v>
      </c>
      <c r="C55" s="8">
        <v>115</v>
      </c>
      <c r="D55" s="7">
        <v>6.14</v>
      </c>
      <c r="E55" s="8">
        <v>309</v>
      </c>
      <c r="F55" s="7">
        <f>3*60+41.49</f>
        <v>221.49</v>
      </c>
      <c r="G55" s="10"/>
    </row>
    <row r="56" spans="1:7" ht="12.75">
      <c r="A56" s="2"/>
      <c r="B56" s="2">
        <v>0.6209</v>
      </c>
      <c r="C56" s="2">
        <v>1.8681</v>
      </c>
      <c r="D56" s="2">
        <v>2.0742</v>
      </c>
      <c r="E56" s="2">
        <v>2.1645</v>
      </c>
      <c r="F56" s="2">
        <v>0.522</v>
      </c>
      <c r="G56" s="10"/>
    </row>
    <row r="57" spans="1:7" ht="12.75">
      <c r="A57" s="2"/>
      <c r="B57" s="11">
        <f>+ROUNDUP((B55*B56),2)</f>
        <v>7.83</v>
      </c>
      <c r="C57" s="1">
        <f>+TRUNC((C55*C56),0)</f>
        <v>214</v>
      </c>
      <c r="D57" s="11">
        <f>+TRUNC((D55*D56),2)</f>
        <v>12.73</v>
      </c>
      <c r="E57" s="1">
        <f>+TRUNC((E55*E56),0)</f>
        <v>668</v>
      </c>
      <c r="F57" s="11">
        <f>+ROUNDUP((F55*F56),2)</f>
        <v>115.62</v>
      </c>
      <c r="G57" s="10"/>
    </row>
    <row r="58" spans="1:7" ht="12.75">
      <c r="A58" s="1"/>
      <c r="B58" s="8">
        <f>TRUNC(20.0479*(17-B57)^1.835)</f>
        <v>1169</v>
      </c>
      <c r="C58" s="8">
        <f>TRUNC(1.84523*(C57-75)^1.348)</f>
        <v>1428</v>
      </c>
      <c r="D58" s="8">
        <f>TRUNC(56.0211*(D57-1.5)^1.05)</f>
        <v>709</v>
      </c>
      <c r="E58" s="8">
        <f>TRUNC(0.188807*(E57-210)^1.41)</f>
        <v>1066</v>
      </c>
      <c r="F58" s="8">
        <f>TRUNC(0.11193*(254-F57)^1.88)</f>
        <v>1186</v>
      </c>
      <c r="G58" s="8">
        <f>B58+C58+D58+E58+F58</f>
        <v>5558</v>
      </c>
    </row>
    <row r="59" spans="2:7" ht="12.75">
      <c r="B59" s="16"/>
      <c r="C59" s="2"/>
      <c r="D59" s="2"/>
      <c r="E59" s="2"/>
      <c r="F59" s="2"/>
      <c r="G59" s="2"/>
    </row>
    <row r="60" spans="1:7" ht="12.75">
      <c r="A60" s="10">
        <v>85</v>
      </c>
      <c r="B60" s="7">
        <v>12.6</v>
      </c>
      <c r="C60" s="8">
        <v>115</v>
      </c>
      <c r="D60" s="7">
        <v>6.14</v>
      </c>
      <c r="E60" s="8">
        <v>309</v>
      </c>
      <c r="F60" s="7">
        <f>3*60+41.49</f>
        <v>221.49</v>
      </c>
      <c r="G60" s="10"/>
    </row>
    <row r="61" spans="1:7" ht="12.75">
      <c r="A61" s="2"/>
      <c r="B61" s="2">
        <v>0.5549</v>
      </c>
      <c r="C61" s="2">
        <v>2.0673</v>
      </c>
      <c r="D61" s="2">
        <v>2.3894</v>
      </c>
      <c r="E61" s="2">
        <v>2.9154</v>
      </c>
      <c r="F61" s="2">
        <v>0.4228</v>
      </c>
      <c r="G61" s="10"/>
    </row>
    <row r="62" spans="1:7" ht="12.75">
      <c r="A62" s="2"/>
      <c r="B62" s="11">
        <f>+ROUNDUP((B60*B61),2)</f>
        <v>7</v>
      </c>
      <c r="C62" s="1">
        <f>+TRUNC((C60*C61),0)</f>
        <v>237</v>
      </c>
      <c r="D62" s="11">
        <f>+TRUNC((D60*D61),2)</f>
        <v>14.67</v>
      </c>
      <c r="E62" s="1">
        <f>+TRUNC((E60*E61),0)</f>
        <v>900</v>
      </c>
      <c r="F62" s="11">
        <f>+ROUNDUP((F60*F61),2)</f>
        <v>93.65</v>
      </c>
      <c r="G62" s="10"/>
    </row>
    <row r="63" spans="1:7" ht="12.75">
      <c r="A63" s="1"/>
      <c r="B63" s="8">
        <f>TRUNC(20.0479*(17-B62)^1.835)</f>
        <v>1371</v>
      </c>
      <c r="C63" s="8">
        <f>TRUNC(1.84523*(C62-75)^1.348)</f>
        <v>1755</v>
      </c>
      <c r="D63" s="8">
        <f>TRUNC(56.0211*(D62-1.5)^1.05)</f>
        <v>839</v>
      </c>
      <c r="E63" s="8">
        <f>TRUNC(0.188807*(E62-210)^1.41)</f>
        <v>1900</v>
      </c>
      <c r="F63" s="8">
        <f>TRUNC(0.11193*(254-F62)^1.88)</f>
        <v>1564</v>
      </c>
      <c r="G63" s="8">
        <f>B63+C63+D63+E63+F63</f>
        <v>7429</v>
      </c>
    </row>
    <row r="64" spans="2:7" ht="12.75">
      <c r="B64" s="16"/>
      <c r="C64" s="2"/>
      <c r="D64" s="2"/>
      <c r="E64" s="2"/>
      <c r="F64" s="2"/>
      <c r="G64" s="2"/>
    </row>
    <row r="65" spans="1:7" ht="12.75">
      <c r="A65" s="10">
        <v>90</v>
      </c>
      <c r="B65" s="7">
        <v>12.6</v>
      </c>
      <c r="C65" s="8">
        <v>115</v>
      </c>
      <c r="D65" s="7">
        <v>6.14</v>
      </c>
      <c r="E65" s="8">
        <v>309</v>
      </c>
      <c r="F65" s="7">
        <f>3*60+41.49</f>
        <v>221.49</v>
      </c>
      <c r="G65" s="10"/>
    </row>
    <row r="66" spans="1:7" ht="12.75">
      <c r="A66" s="2"/>
      <c r="B66" s="2">
        <v>0.4697</v>
      </c>
      <c r="C66" s="2">
        <v>2.3261</v>
      </c>
      <c r="D66" s="2">
        <v>2.8176</v>
      </c>
      <c r="E66" s="57">
        <v>3.2696</v>
      </c>
      <c r="F66" s="2">
        <v>0.3052</v>
      </c>
      <c r="G66" s="10"/>
    </row>
    <row r="67" spans="1:7" ht="12.75">
      <c r="A67" s="2"/>
      <c r="B67" s="11">
        <f>+ROUNDUP((B65*B66),2)</f>
        <v>5.92</v>
      </c>
      <c r="C67" s="1">
        <f>+TRUNC((C65*C66),0)</f>
        <v>267</v>
      </c>
      <c r="D67" s="11">
        <f>+TRUNC((D65*D66),2)</f>
        <v>17.3</v>
      </c>
      <c r="E67" s="1">
        <f>+TRUNC((E65*E66),0)</f>
        <v>1010</v>
      </c>
      <c r="F67" s="11">
        <f>+ROUNDUP((F65*F66),2)</f>
        <v>67.60000000000001</v>
      </c>
      <c r="G67" s="10"/>
    </row>
    <row r="68" spans="1:7" ht="12.75">
      <c r="A68" s="1"/>
      <c r="B68" s="8">
        <f>TRUNC(20.0479*(17-B67)^1.835)</f>
        <v>1655</v>
      </c>
      <c r="C68" s="8">
        <f>TRUNC(1.84523*(C67-75)^1.348)</f>
        <v>2207</v>
      </c>
      <c r="D68" s="8">
        <f>TRUNC(56.0211*(D67-1.5)^1.05)</f>
        <v>1016</v>
      </c>
      <c r="E68" s="8">
        <f>TRUNC(0.188807*(E67-210)^1.41)</f>
        <v>2340</v>
      </c>
      <c r="F68" s="8">
        <f>TRUNC(0.11193*(254-F67)^1.88)</f>
        <v>2076</v>
      </c>
      <c r="G68" s="8"/>
    </row>
    <row r="69" spans="2:7" ht="12.75">
      <c r="B69" s="16"/>
      <c r="C69" s="2"/>
      <c r="D69" s="2"/>
      <c r="E69" s="2"/>
      <c r="F69" s="2"/>
      <c r="G69" s="2"/>
    </row>
    <row r="70" spans="1:7" ht="12.75">
      <c r="A70" s="10">
        <v>95</v>
      </c>
      <c r="B70" s="7">
        <v>19.99</v>
      </c>
      <c r="C70" s="8">
        <v>999</v>
      </c>
      <c r="D70" s="7">
        <v>99.99</v>
      </c>
      <c r="E70" s="8">
        <v>309</v>
      </c>
      <c r="F70" s="7">
        <f>3*60+41.49</f>
        <v>221.49</v>
      </c>
      <c r="G70" s="10"/>
    </row>
    <row r="71" spans="1:7" ht="12.75">
      <c r="A71" s="2"/>
      <c r="B71" s="2">
        <v>0.3572</v>
      </c>
      <c r="C71" s="2">
        <v>2.6766</v>
      </c>
      <c r="D71" s="2">
        <v>3.4328</v>
      </c>
      <c r="E71" s="57">
        <v>4.4235</v>
      </c>
      <c r="F71" s="57">
        <v>0.2554</v>
      </c>
      <c r="G71" s="10"/>
    </row>
    <row r="72" spans="1:7" ht="12.75">
      <c r="A72" s="2"/>
      <c r="B72" s="11">
        <f>+ROUNDUP((B70*B71),2)</f>
        <v>7.1499999999999995</v>
      </c>
      <c r="C72" s="1">
        <f>+TRUNC((C70*C71),0)</f>
        <v>2673</v>
      </c>
      <c r="D72" s="11">
        <f>+TRUNC((D70*D71),2)</f>
        <v>343.24</v>
      </c>
      <c r="E72" s="1">
        <f>+TRUNC((E70*E71),0)</f>
        <v>1366</v>
      </c>
      <c r="F72" s="11">
        <f>+ROUNDUP((F70*F71),2)</f>
        <v>56.57</v>
      </c>
      <c r="G72" s="10"/>
    </row>
    <row r="73" spans="1:7" ht="12.75">
      <c r="A73" s="1"/>
      <c r="B73" s="8">
        <f>TRUNC(20.0479*(17-B72)^1.835)</f>
        <v>1333</v>
      </c>
      <c r="C73" s="8">
        <f>TRUNC(1.84523*(C72-75)^1.348)</f>
        <v>73957</v>
      </c>
      <c r="D73" s="8">
        <f>TRUNC(56.0211*(D72-1.5)^1.05)</f>
        <v>25629</v>
      </c>
      <c r="E73" s="8">
        <f>TRUNC(0.188807*(E72-210)^1.41)</f>
        <v>3933</v>
      </c>
      <c r="F73" s="8">
        <f>TRUNC(0.11193*(254-F72)^1.88)</f>
        <v>2313</v>
      </c>
      <c r="G73" s="8"/>
    </row>
    <row r="74" spans="2:7" ht="12.75">
      <c r="B74" s="4"/>
      <c r="C74" s="2"/>
      <c r="D74" s="2"/>
      <c r="E74" s="2"/>
      <c r="F74" s="2"/>
      <c r="G74" s="2"/>
    </row>
    <row r="75" spans="1:7" ht="12.75">
      <c r="A75" s="10" t="s">
        <v>9</v>
      </c>
      <c r="B75" s="7">
        <v>19.99</v>
      </c>
      <c r="C75" s="8">
        <v>999</v>
      </c>
      <c r="D75" s="7">
        <v>99.9</v>
      </c>
      <c r="E75" s="8">
        <v>309</v>
      </c>
      <c r="F75" s="7">
        <f>3*60+41.49</f>
        <v>221.49</v>
      </c>
      <c r="G75" s="10"/>
    </row>
    <row r="76" spans="1:7" ht="12.75">
      <c r="A76" s="2"/>
      <c r="B76" s="57">
        <v>0.2417</v>
      </c>
      <c r="C76" s="57">
        <v>3.2</v>
      </c>
      <c r="D76" s="2">
        <v>4.3917</v>
      </c>
      <c r="E76" s="57">
        <v>7.52</v>
      </c>
      <c r="F76" s="57">
        <v>0.2007</v>
      </c>
      <c r="G76" s="10"/>
    </row>
    <row r="77" spans="1:7" ht="12.75">
      <c r="A77" s="2"/>
      <c r="B77" s="11">
        <f>+ROUNDUP((B75*B76),2)</f>
        <v>4.84</v>
      </c>
      <c r="C77" s="1">
        <f>+TRUNC((C75*C76),0)</f>
        <v>3196</v>
      </c>
      <c r="D77" s="11">
        <f>+TRUNC((D75*D76),2)</f>
        <v>438.73</v>
      </c>
      <c r="E77" s="1">
        <f>+TRUNC((E75*E76),0)</f>
        <v>2323</v>
      </c>
      <c r="F77" s="11">
        <f>+ROUNDUP((F75*F76),2)</f>
        <v>44.46</v>
      </c>
      <c r="G77" s="10"/>
    </row>
    <row r="78" spans="1:7" ht="12.75">
      <c r="A78" s="1"/>
      <c r="B78" s="8">
        <f>TRUNC(20.0479*(17-B77)^1.835)</f>
        <v>1963</v>
      </c>
      <c r="C78" s="8">
        <f>TRUNC(1.84523*(C77-75)^1.348)</f>
        <v>94701</v>
      </c>
      <c r="D78" s="8">
        <f>TRUNC(56.0211*(D77-1.5)^1.05)</f>
        <v>33196</v>
      </c>
      <c r="E78" s="8">
        <f>TRUNC(0.188807*(E77-210)^1.41)</f>
        <v>9207</v>
      </c>
      <c r="F78" s="8">
        <f>TRUNC(0.11193*(254-F77)^1.88)</f>
        <v>2587</v>
      </c>
      <c r="G78" s="8"/>
    </row>
    <row r="79" spans="2:7" ht="12.75">
      <c r="B79" s="4"/>
      <c r="C79" s="2"/>
      <c r="D79" s="2"/>
      <c r="E79" s="2"/>
      <c r="F79" s="2"/>
      <c r="G79" s="2"/>
    </row>
    <row r="80" spans="2:7" ht="12.75">
      <c r="B80" s="2"/>
      <c r="C80" s="2"/>
      <c r="D80" s="2"/>
      <c r="E80" s="2"/>
      <c r="F80" s="2"/>
      <c r="G80" s="2"/>
    </row>
    <row r="81" spans="2:7" ht="12.75">
      <c r="B81" s="2"/>
      <c r="C81" s="2"/>
      <c r="D81" s="2"/>
      <c r="E81" s="2"/>
      <c r="F81" s="2"/>
      <c r="G81" s="2"/>
    </row>
    <row r="82" spans="2:7" ht="12.75">
      <c r="B82" s="2"/>
      <c r="C82" s="2"/>
      <c r="D82" s="2"/>
      <c r="E82" s="2"/>
      <c r="F82" s="2"/>
      <c r="G82" s="2"/>
    </row>
    <row r="83" spans="2:7" ht="12.75">
      <c r="B83" s="2"/>
      <c r="C83" s="2"/>
      <c r="D83" s="2"/>
      <c r="E83" s="2"/>
      <c r="F83" s="2"/>
      <c r="G83" s="2"/>
    </row>
    <row r="84" spans="2:7" ht="12.75">
      <c r="B84" s="2"/>
      <c r="C84" s="2"/>
      <c r="D84" s="2"/>
      <c r="E84" s="2"/>
      <c r="F84" s="2"/>
      <c r="G84" s="2"/>
    </row>
    <row r="85" spans="2:7" ht="12.75">
      <c r="B85" s="2"/>
      <c r="C85" s="2"/>
      <c r="D85" s="2"/>
      <c r="E85" s="2"/>
      <c r="F85" s="2"/>
      <c r="G85" s="2"/>
    </row>
    <row r="86" spans="2:7" ht="12.75">
      <c r="B86" s="2"/>
      <c r="C86" s="2"/>
      <c r="D86" s="2"/>
      <c r="E86" s="2"/>
      <c r="F86" s="2"/>
      <c r="G86" s="2"/>
    </row>
    <row r="87" spans="2:7" ht="12.75">
      <c r="B87" s="2"/>
      <c r="C87" s="2"/>
      <c r="D87" s="2"/>
      <c r="E87" s="2"/>
      <c r="F87" s="2"/>
      <c r="G87" s="2"/>
    </row>
    <row r="88" spans="2:7" ht="12.75">
      <c r="B88" s="2"/>
      <c r="C88" s="2"/>
      <c r="D88" s="2"/>
      <c r="E88" s="2"/>
      <c r="F88" s="2"/>
      <c r="G88" s="2"/>
    </row>
    <row r="89" spans="2:7" ht="12.75">
      <c r="B89" s="2"/>
      <c r="C89" s="2"/>
      <c r="D89" s="2"/>
      <c r="E89" s="2"/>
      <c r="F89" s="2"/>
      <c r="G89" s="2"/>
    </row>
    <row r="90" spans="2:7" ht="12.75">
      <c r="B90" s="2"/>
      <c r="C90" s="2"/>
      <c r="D90" s="2"/>
      <c r="E90" s="2"/>
      <c r="F90" s="2"/>
      <c r="G90" s="2"/>
    </row>
    <row r="91" spans="2:7" ht="12.75">
      <c r="B91" s="2"/>
      <c r="C91" s="2"/>
      <c r="D91" s="2"/>
      <c r="E91" s="2"/>
      <c r="F91" s="2"/>
      <c r="G91" s="2"/>
    </row>
    <row r="92" spans="2:7" ht="12.75">
      <c r="B92" s="2"/>
      <c r="C92" s="2"/>
      <c r="D92" s="2"/>
      <c r="E92" s="2"/>
      <c r="F92" s="2"/>
      <c r="G92" s="2"/>
    </row>
    <row r="93" spans="2:7" ht="12.75">
      <c r="B93" s="2"/>
      <c r="C93" s="2"/>
      <c r="D93" s="2"/>
      <c r="E93" s="2"/>
      <c r="F93" s="2"/>
      <c r="G93" s="2"/>
    </row>
    <row r="94" spans="2:7" ht="12.75">
      <c r="B94" s="2"/>
      <c r="C94" s="2"/>
      <c r="D94" s="2"/>
      <c r="E94" s="2"/>
      <c r="F94" s="2"/>
      <c r="G94" s="2"/>
    </row>
    <row r="95" spans="2:7" ht="12.75">
      <c r="B95" s="2"/>
      <c r="C95" s="2"/>
      <c r="D95" s="2"/>
      <c r="E95" s="2"/>
      <c r="F95" s="2"/>
      <c r="G95" s="2"/>
    </row>
    <row r="96" spans="2:7" ht="12.75">
      <c r="B96" s="2"/>
      <c r="C96" s="2"/>
      <c r="D96" s="2"/>
      <c r="E96" s="2"/>
      <c r="F96" s="2"/>
      <c r="G96" s="2"/>
    </row>
    <row r="97" spans="2:7" ht="12.75">
      <c r="B97" s="2"/>
      <c r="C97" s="2"/>
      <c r="D97" s="2"/>
      <c r="E97" s="2"/>
      <c r="F97" s="2"/>
      <c r="G97" s="2"/>
    </row>
    <row r="98" spans="2:7" ht="12.75">
      <c r="B98" s="2"/>
      <c r="C98" s="2"/>
      <c r="D98" s="2"/>
      <c r="E98" s="2"/>
      <c r="F98" s="2"/>
      <c r="G98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5"/>
  <sheetViews>
    <sheetView zoomScalePageLayoutView="0" workbookViewId="0" topLeftCell="A1">
      <pane ySplit="1320" topLeftCell="A1" activePane="bottomLeft" state="split"/>
      <selection pane="topLeft" activeCell="A16" sqref="A16"/>
      <selection pane="bottomLeft" activeCell="A3" sqref="A3"/>
    </sheetView>
  </sheetViews>
  <sheetFormatPr defaultColWidth="9.140625" defaultRowHeight="12.75"/>
  <cols>
    <col min="1" max="1" width="5.421875" style="0" customWidth="1"/>
    <col min="2" max="2" width="10.57421875" style="0" customWidth="1"/>
    <col min="3" max="3" width="10.8515625" style="0" customWidth="1"/>
    <col min="4" max="4" width="11.57421875" style="0" customWidth="1"/>
    <col min="5" max="7" width="10.8515625" style="0" customWidth="1"/>
    <col min="8" max="8" width="11.28125" style="0" customWidth="1"/>
    <col min="9" max="9" width="10.140625" style="0" customWidth="1"/>
    <col min="10" max="10" width="11.57421875" style="0" customWidth="1"/>
    <col min="11" max="11" width="12.28125" style="0" customWidth="1"/>
    <col min="12" max="12" width="12.00390625" style="0" customWidth="1"/>
    <col min="13" max="13" width="14.00390625" style="0" customWidth="1"/>
    <col min="14" max="14" width="10.140625" style="0" customWidth="1"/>
    <col min="15" max="15" width="13.00390625" style="0" customWidth="1"/>
    <col min="16" max="16" width="10.140625" style="0" customWidth="1"/>
  </cols>
  <sheetData>
    <row r="1" ht="15.75">
      <c r="A1" s="17" t="s">
        <v>121</v>
      </c>
    </row>
    <row r="2" ht="15.75">
      <c r="A2" s="17"/>
    </row>
    <row r="3" spans="2:11" ht="12.75">
      <c r="B3" s="27" t="s">
        <v>18</v>
      </c>
      <c r="C3" s="27" t="s">
        <v>4</v>
      </c>
      <c r="D3" s="27" t="s">
        <v>2</v>
      </c>
      <c r="E3" s="27" t="s">
        <v>1</v>
      </c>
      <c r="F3" s="27" t="s">
        <v>19</v>
      </c>
      <c r="G3" s="27" t="s">
        <v>20</v>
      </c>
      <c r="H3" s="27" t="s">
        <v>14</v>
      </c>
      <c r="I3" s="27" t="s">
        <v>21</v>
      </c>
      <c r="J3" s="27" t="s">
        <v>5</v>
      </c>
      <c r="K3" s="27" t="s">
        <v>17</v>
      </c>
    </row>
    <row r="4" spans="3:9" ht="12.75">
      <c r="C4" s="2"/>
      <c r="D4" s="2"/>
      <c r="E4" s="2"/>
      <c r="I4" s="2"/>
    </row>
    <row r="5" spans="1:12" ht="12.75">
      <c r="A5" s="10">
        <v>30</v>
      </c>
      <c r="B5" s="7">
        <v>11.01</v>
      </c>
      <c r="C5" s="8">
        <v>732</v>
      </c>
      <c r="D5" s="7">
        <v>15.3</v>
      </c>
      <c r="E5" s="8">
        <v>196</v>
      </c>
      <c r="F5" s="7">
        <v>48.43</v>
      </c>
      <c r="G5" s="7">
        <v>14.25</v>
      </c>
      <c r="H5" s="7">
        <v>43.48</v>
      </c>
      <c r="I5" s="8">
        <v>510</v>
      </c>
      <c r="J5" s="7">
        <v>56.12</v>
      </c>
      <c r="K5" s="7">
        <f>4*60+34.83</f>
        <v>274.83</v>
      </c>
      <c r="L5" s="7"/>
    </row>
    <row r="6" spans="1:11" ht="12.75">
      <c r="A6" s="2"/>
      <c r="B6" s="2">
        <v>1</v>
      </c>
      <c r="C6" s="2">
        <v>1</v>
      </c>
      <c r="D6" s="2">
        <v>1</v>
      </c>
      <c r="E6" s="2">
        <v>1</v>
      </c>
      <c r="F6" s="2">
        <v>1</v>
      </c>
      <c r="G6" s="21">
        <v>1</v>
      </c>
      <c r="H6" s="2">
        <v>1</v>
      </c>
      <c r="I6" s="2">
        <v>1</v>
      </c>
      <c r="J6" s="2">
        <v>1</v>
      </c>
      <c r="K6" s="2">
        <v>1</v>
      </c>
    </row>
    <row r="7" spans="1:11" ht="12.75">
      <c r="A7" s="2"/>
      <c r="B7" s="11">
        <f>+ROUNDUP((B5*B6),2)</f>
        <v>11.01</v>
      </c>
      <c r="C7" s="1">
        <f>+TRUNC((C5*C6),0)</f>
        <v>732</v>
      </c>
      <c r="D7" s="11">
        <f>+TRUNC((D5*D6),2)</f>
        <v>15.3</v>
      </c>
      <c r="E7" s="1">
        <f>+TRUNC((E5*E6),0)</f>
        <v>196</v>
      </c>
      <c r="F7" s="11">
        <f>+ROUNDUP((F5*F6),2)</f>
        <v>48.43</v>
      </c>
      <c r="G7" s="22">
        <f>+ROUNDUP((G5*G6),2)</f>
        <v>14.25</v>
      </c>
      <c r="H7" s="11">
        <f>+TRUNC((H5*H6),2)</f>
        <v>43.48</v>
      </c>
      <c r="I7" s="1">
        <f>+TRUNC((I5*I6),0)</f>
        <v>510</v>
      </c>
      <c r="J7" s="11">
        <f>+TRUNC((J5*J6),2)</f>
        <v>56.12</v>
      </c>
      <c r="K7" s="11">
        <f>+ROUNDUP((K5*K6),2)</f>
        <v>274.83</v>
      </c>
    </row>
    <row r="8" spans="1:13" ht="12.75">
      <c r="A8" s="1"/>
      <c r="B8" s="8">
        <f>TRUNC(25.4347*(18-B7)^1.81)</f>
        <v>858</v>
      </c>
      <c r="C8" s="8">
        <f>TRUNC(0.14354*(C7-220)^1.4)</f>
        <v>891</v>
      </c>
      <c r="D8" s="8">
        <f>TRUNC(51.39*(D7-1.5)^1.05)</f>
        <v>808</v>
      </c>
      <c r="E8" s="8">
        <f>TRUNC(0.8465*(E7-75)^1.42)</f>
        <v>767</v>
      </c>
      <c r="F8" s="8">
        <f>TRUNC(1.53775*(82-F7)^1.81)</f>
        <v>888</v>
      </c>
      <c r="G8" s="23">
        <f>TRUNC(5.74352*(28.5-G7)^1.92)</f>
        <v>942</v>
      </c>
      <c r="H8" s="8">
        <f>TRUNC(12.91*(H7-4)^1.1)</f>
        <v>736</v>
      </c>
      <c r="I8" s="8">
        <f>TRUNC(0.2797*(I7-100)^1.35)</f>
        <v>941</v>
      </c>
      <c r="J8" s="8">
        <f>TRUNC(10.14*(J7-7)^1.08)</f>
        <v>680</v>
      </c>
      <c r="K8" s="8">
        <f>TRUNC(0.03768*(480-K7)^1.85)</f>
        <v>713</v>
      </c>
      <c r="L8" s="15">
        <f>SUM(B8:K8)</f>
        <v>8224</v>
      </c>
      <c r="M8" t="s">
        <v>62</v>
      </c>
    </row>
    <row r="9" spans="3:9" ht="12.75">
      <c r="C9" s="2"/>
      <c r="D9" s="2"/>
      <c r="E9" s="2"/>
      <c r="I9" s="2"/>
    </row>
    <row r="10" spans="1:23" ht="12.75">
      <c r="A10" s="10">
        <v>35</v>
      </c>
      <c r="B10" s="7">
        <v>11.64</v>
      </c>
      <c r="C10" s="8">
        <v>697</v>
      </c>
      <c r="D10" s="7">
        <v>13.18</v>
      </c>
      <c r="E10" s="8">
        <v>192</v>
      </c>
      <c r="F10" s="7">
        <v>54.04</v>
      </c>
      <c r="G10" s="7">
        <v>16.51</v>
      </c>
      <c r="H10" s="7">
        <v>35.93</v>
      </c>
      <c r="I10" s="8">
        <v>430</v>
      </c>
      <c r="J10" s="7">
        <v>51.59</v>
      </c>
      <c r="K10" s="7">
        <f>7*60+59.31</f>
        <v>479.31</v>
      </c>
      <c r="L10" s="7"/>
      <c r="N10" s="7"/>
      <c r="O10" s="8"/>
      <c r="P10" s="7"/>
      <c r="Q10" s="8"/>
      <c r="R10" s="7"/>
      <c r="S10" s="7"/>
      <c r="T10" s="7"/>
      <c r="U10" s="8"/>
      <c r="V10" s="7"/>
      <c r="W10" s="7"/>
    </row>
    <row r="11" spans="1:11" ht="12.75">
      <c r="A11" s="2"/>
      <c r="B11" s="2">
        <v>0.9869</v>
      </c>
      <c r="C11" s="2">
        <v>1.0317</v>
      </c>
      <c r="D11" s="2">
        <v>1.0372</v>
      </c>
      <c r="E11" s="2">
        <v>1.026</v>
      </c>
      <c r="F11" s="2">
        <v>0.9654</v>
      </c>
      <c r="G11" s="21">
        <v>0.9901</v>
      </c>
      <c r="H11" s="2">
        <v>1.0143</v>
      </c>
      <c r="I11" s="2">
        <v>1.0168</v>
      </c>
      <c r="J11" s="2">
        <v>1.0126</v>
      </c>
      <c r="K11" s="2">
        <v>0.9913</v>
      </c>
    </row>
    <row r="12" spans="1:11" ht="12.75">
      <c r="A12" s="2"/>
      <c r="B12" s="11">
        <f>+ROUNDUP((B10*B11),2)</f>
        <v>11.49</v>
      </c>
      <c r="C12" s="1">
        <f>+TRUNC((C10*C11),0)</f>
        <v>719</v>
      </c>
      <c r="D12" s="11">
        <f>+TRUNC((D10*D11),2)</f>
        <v>13.67</v>
      </c>
      <c r="E12" s="1">
        <f>+TRUNC((E10*E11),0)</f>
        <v>196</v>
      </c>
      <c r="F12" s="11">
        <f>+ROUNDUP((F10*F11),2)</f>
        <v>52.18</v>
      </c>
      <c r="G12" s="22">
        <f>+ROUNDUP((G10*G11),2)</f>
        <v>16.35</v>
      </c>
      <c r="H12" s="11">
        <f>+TRUNC((H10*H11),2)</f>
        <v>36.44</v>
      </c>
      <c r="I12" s="1">
        <f>+TRUNC((I10*I11),0)</f>
        <v>437</v>
      </c>
      <c r="J12" s="11">
        <f>+TRUNC((J10*J11),2)</f>
        <v>52.24</v>
      </c>
      <c r="K12" s="11">
        <f>+ROUNDUP((K10*K11),2)</f>
        <v>475.15</v>
      </c>
    </row>
    <row r="13" spans="1:13" ht="12.75">
      <c r="A13" s="1"/>
      <c r="B13" s="8">
        <f>TRUNC(25.4347*(18-B12)^1.81)</f>
        <v>755</v>
      </c>
      <c r="C13" s="8">
        <f>TRUNC(0.14354*(C12-220)^1.4)</f>
        <v>859</v>
      </c>
      <c r="D13" s="8">
        <f>TRUNC(51.39*(D12-1.5)^1.05)</f>
        <v>708</v>
      </c>
      <c r="E13" s="8">
        <f>TRUNC(0.8465*(E12-75)^1.42)</f>
        <v>767</v>
      </c>
      <c r="F13" s="8">
        <f>TRUNC(1.53775*(82-F12)^1.81)</f>
        <v>717</v>
      </c>
      <c r="G13" s="23">
        <f>TRUNC(5.74352*(28.5-G12)^1.92)</f>
        <v>694</v>
      </c>
      <c r="H13" s="8">
        <f>TRUNC(12.91*(H12-4)^1.1)</f>
        <v>593</v>
      </c>
      <c r="I13" s="8">
        <f>TRUNC(0.2797*(I12-100)^1.35)</f>
        <v>722</v>
      </c>
      <c r="J13" s="8">
        <f>TRUNC(10.14*(J12-7)^1.08)</f>
        <v>622</v>
      </c>
      <c r="K13" s="8">
        <f>TRUNC(0.03768*(480-K12)^1.85)</f>
        <v>0</v>
      </c>
      <c r="L13" s="15">
        <f>SUM(B13:K13)</f>
        <v>6437</v>
      </c>
      <c r="M13" s="15" t="s">
        <v>90</v>
      </c>
    </row>
    <row r="14" spans="2:11" ht="12.75">
      <c r="B14" s="5"/>
      <c r="C14" s="5"/>
      <c r="D14" s="5"/>
      <c r="E14" s="5"/>
      <c r="F14" s="5"/>
      <c r="G14" s="24"/>
      <c r="H14" s="5"/>
      <c r="I14" s="5"/>
      <c r="J14" s="5"/>
      <c r="K14" s="5"/>
    </row>
    <row r="15" spans="1:23" ht="12.75">
      <c r="A15" s="10">
        <v>40</v>
      </c>
      <c r="B15" s="7">
        <v>12.53</v>
      </c>
      <c r="C15" s="8">
        <v>605</v>
      </c>
      <c r="D15" s="7">
        <v>10.42</v>
      </c>
      <c r="E15" s="8">
        <v>191</v>
      </c>
      <c r="F15" s="7">
        <v>57.74</v>
      </c>
      <c r="G15" s="7">
        <v>16.97</v>
      </c>
      <c r="H15" s="7">
        <v>33.84</v>
      </c>
      <c r="I15" s="8">
        <v>360</v>
      </c>
      <c r="J15" s="7">
        <v>60.2</v>
      </c>
      <c r="K15" s="7">
        <f>5*60+24.71</f>
        <v>324.71</v>
      </c>
      <c r="N15" s="7"/>
      <c r="O15" s="8"/>
      <c r="P15" s="7"/>
      <c r="Q15" s="8"/>
      <c r="R15" s="7"/>
      <c r="S15" s="7"/>
      <c r="T15" s="7"/>
      <c r="U15" s="8"/>
      <c r="V15" s="7"/>
      <c r="W15" s="7"/>
    </row>
    <row r="16" spans="1:11" ht="12.75">
      <c r="A16" s="2"/>
      <c r="B16" s="2">
        <v>0.9578</v>
      </c>
      <c r="C16" s="2">
        <v>1.0899</v>
      </c>
      <c r="D16" s="2">
        <v>1.1137</v>
      </c>
      <c r="E16" s="2">
        <v>1.0486</v>
      </c>
      <c r="F16" s="2">
        <v>0.9354</v>
      </c>
      <c r="G16" s="21">
        <v>0.9526</v>
      </c>
      <c r="H16" s="2">
        <v>1.1014</v>
      </c>
      <c r="I16" s="2">
        <v>1.0773</v>
      </c>
      <c r="J16" s="2">
        <v>1.0862</v>
      </c>
      <c r="K16" s="2">
        <v>0.9519</v>
      </c>
    </row>
    <row r="17" spans="1:11" ht="12.75">
      <c r="A17" s="2"/>
      <c r="B17" s="11">
        <f>+ROUNDUP((B15*B16),2)</f>
        <v>12.01</v>
      </c>
      <c r="C17" s="1">
        <f>+TRUNC((C15*C16),0)</f>
        <v>659</v>
      </c>
      <c r="D17" s="11">
        <f>+TRUNC((D15*D16),2)</f>
        <v>11.6</v>
      </c>
      <c r="E17" s="1">
        <f>+TRUNC((E15*E16),0)</f>
        <v>200</v>
      </c>
      <c r="F17" s="11">
        <f>+ROUNDUP((F15*F16),2)</f>
        <v>54.01</v>
      </c>
      <c r="G17" s="22">
        <f>+ROUNDUP((G15*G16),2)</f>
        <v>16.17</v>
      </c>
      <c r="H17" s="11">
        <f>+TRUNC((H15*H16),2)</f>
        <v>37.27</v>
      </c>
      <c r="I17" s="1">
        <f>+TRUNC((I15*I16),0)</f>
        <v>387</v>
      </c>
      <c r="J17" s="11">
        <f>+TRUNC((J15*J16),2)</f>
        <v>65.38</v>
      </c>
      <c r="K17" s="11">
        <f>+ROUNDUP((K15*K16),2)</f>
        <v>309.09999999999997</v>
      </c>
    </row>
    <row r="18" spans="1:15" ht="12.75">
      <c r="A18" s="8"/>
      <c r="B18" s="8">
        <f>TRUNC(25.4347*(18-B17)^1.81)</f>
        <v>649</v>
      </c>
      <c r="C18" s="8">
        <f>TRUNC(0.14354*(C17-220)^1.4)</f>
        <v>718</v>
      </c>
      <c r="D18" s="8">
        <f>TRUNC(51.39*(D17-1.5)^1.05)</f>
        <v>582</v>
      </c>
      <c r="E18" s="8">
        <f>TRUNC(0.8465*(E17-75)^1.42)</f>
        <v>803</v>
      </c>
      <c r="F18" s="8">
        <f>TRUNC(1.53775*(82-F17)^1.81)</f>
        <v>639</v>
      </c>
      <c r="G18" s="23">
        <f>TRUNC(5.74352*(28.5-G17)^1.92)</f>
        <v>714</v>
      </c>
      <c r="H18" s="8">
        <f>TRUNC(12.91*(H17-4)^1.1)</f>
        <v>609</v>
      </c>
      <c r="I18" s="8">
        <f>TRUNC(0.2797*(I17-100)^1.35)</f>
        <v>581</v>
      </c>
      <c r="J18" s="8">
        <f>TRUNC(10.14*(J17-7)^1.08)</f>
        <v>819</v>
      </c>
      <c r="K18" s="8">
        <f>TRUNC(0.03768*(480-K17)^1.85)</f>
        <v>508</v>
      </c>
      <c r="L18" s="15">
        <f>SUM(B18:K18)</f>
        <v>6622</v>
      </c>
      <c r="M18" s="15" t="s">
        <v>48</v>
      </c>
      <c r="O18" s="45"/>
    </row>
    <row r="19" spans="1:11" ht="12.75">
      <c r="A19" s="6"/>
      <c r="B19" s="5"/>
      <c r="C19" s="5"/>
      <c r="D19" s="5"/>
      <c r="E19" s="5"/>
      <c r="F19" s="5"/>
      <c r="G19" s="24"/>
      <c r="H19" s="5"/>
      <c r="I19" s="5"/>
      <c r="J19" s="5"/>
      <c r="K19" s="5"/>
    </row>
    <row r="20" spans="1:23" ht="12.75">
      <c r="A20" s="10">
        <v>45</v>
      </c>
      <c r="B20" s="7">
        <v>12.83</v>
      </c>
      <c r="C20" s="8">
        <v>580</v>
      </c>
      <c r="D20" s="7">
        <v>11.76</v>
      </c>
      <c r="E20" s="8">
        <v>159</v>
      </c>
      <c r="F20" s="7">
        <v>58.64</v>
      </c>
      <c r="G20" s="7">
        <v>19.33</v>
      </c>
      <c r="H20" s="7">
        <v>31.54</v>
      </c>
      <c r="I20" s="8">
        <v>320</v>
      </c>
      <c r="J20" s="7">
        <v>42.84</v>
      </c>
      <c r="K20" s="7">
        <f>5*60+30.48</f>
        <v>330.48</v>
      </c>
      <c r="N20" s="7"/>
      <c r="O20" s="8"/>
      <c r="P20" s="7"/>
      <c r="Q20" s="8"/>
      <c r="R20" s="7"/>
      <c r="S20" s="7"/>
      <c r="T20" s="7"/>
      <c r="U20" s="8"/>
      <c r="V20" s="7"/>
      <c r="W20" s="7"/>
    </row>
    <row r="21" spans="1:11" ht="12.75">
      <c r="A21" s="2"/>
      <c r="B21" s="2">
        <v>0.9287</v>
      </c>
      <c r="C21" s="2">
        <v>1.1551</v>
      </c>
      <c r="D21" s="2">
        <v>1.2023</v>
      </c>
      <c r="E21" s="2">
        <v>1.1022</v>
      </c>
      <c r="F21" s="2">
        <v>0.9054</v>
      </c>
      <c r="G21" s="21">
        <v>0.9151</v>
      </c>
      <c r="H21" s="2">
        <v>1.2049</v>
      </c>
      <c r="I21" s="2">
        <v>1.1481</v>
      </c>
      <c r="J21" s="2">
        <v>1.1716</v>
      </c>
      <c r="K21" s="2">
        <v>0.9125</v>
      </c>
    </row>
    <row r="22" spans="1:11" ht="12.75">
      <c r="A22" s="2"/>
      <c r="B22" s="11">
        <f>+ROUNDUP((B20*B21),2)</f>
        <v>11.92</v>
      </c>
      <c r="C22" s="1">
        <f>+TRUNC((C20*C21),0)</f>
        <v>669</v>
      </c>
      <c r="D22" s="11">
        <f>+TRUNC((D20*D21),2)</f>
        <v>14.13</v>
      </c>
      <c r="E22" s="1">
        <f>+TRUNC((E20*E21),0)</f>
        <v>175</v>
      </c>
      <c r="F22" s="11">
        <f>+ROUNDUP((F20*F21),2)</f>
        <v>53.1</v>
      </c>
      <c r="G22" s="11">
        <f>+ROUNDUP((G20*G21),2)</f>
        <v>17.69</v>
      </c>
      <c r="H22" s="11">
        <f>+TRUNC((H20*H21),2)</f>
        <v>38</v>
      </c>
      <c r="I22" s="1">
        <f>+TRUNC((I20*I21),0)</f>
        <v>367</v>
      </c>
      <c r="J22" s="11">
        <f>+TRUNC((J20*J21),2)</f>
        <v>50.19</v>
      </c>
      <c r="K22" s="11">
        <f>+ROUNDUP((K20*K21),2)</f>
        <v>301.57</v>
      </c>
    </row>
    <row r="23" spans="1:13" ht="12.75">
      <c r="A23" s="1"/>
      <c r="B23" s="8">
        <f>TRUNC(25.4347*(18-B22)^1.81)</f>
        <v>667</v>
      </c>
      <c r="C23" s="8">
        <f>TRUNC(0.14354*(C22-220)^1.4)</f>
        <v>741</v>
      </c>
      <c r="D23" s="8">
        <f>TRUNC(51.39*(D22-1.5)^1.05)</f>
        <v>736</v>
      </c>
      <c r="E23" s="8">
        <f>TRUNC(0.8465*(E22-75)^1.42)</f>
        <v>585</v>
      </c>
      <c r="F23" s="8">
        <f>TRUNC(1.53775*(82-F22)^1.81)</f>
        <v>677</v>
      </c>
      <c r="G23" s="8">
        <f>TRUNC(5.74352*(28.5-G22)^1.92)</f>
        <v>554</v>
      </c>
      <c r="H23" s="8">
        <f>TRUNC(12.91*(H22-4)^1.1)</f>
        <v>624</v>
      </c>
      <c r="I23" s="8">
        <f>TRUNC(0.2797*(I22-100)^1.35)</f>
        <v>527</v>
      </c>
      <c r="J23" s="8">
        <f>TRUNC(10.14*(J22-7)^1.08)</f>
        <v>591</v>
      </c>
      <c r="K23" s="8">
        <f>TRUNC(0.03768*(480-K22)^1.85)</f>
        <v>551</v>
      </c>
      <c r="L23" s="15">
        <f>SUM(B23:K23)</f>
        <v>6253</v>
      </c>
      <c r="M23" s="15" t="s">
        <v>54</v>
      </c>
    </row>
    <row r="24" spans="2:11" ht="12.75">
      <c r="B24" s="3"/>
      <c r="C24" s="3"/>
      <c r="D24" s="3"/>
      <c r="E24" s="3"/>
      <c r="F24" s="3"/>
      <c r="G24" s="16"/>
      <c r="H24" s="3"/>
      <c r="I24" s="3"/>
      <c r="J24" s="3"/>
      <c r="K24" s="3"/>
    </row>
    <row r="25" spans="1:23" ht="12.75">
      <c r="A25" s="10">
        <v>50</v>
      </c>
      <c r="B25" s="7">
        <v>12.3</v>
      </c>
      <c r="C25" s="8">
        <v>593</v>
      </c>
      <c r="D25" s="7">
        <v>10.34</v>
      </c>
      <c r="E25" s="8">
        <v>155</v>
      </c>
      <c r="F25" s="7">
        <v>57.01</v>
      </c>
      <c r="G25" s="7">
        <v>16.61</v>
      </c>
      <c r="H25" s="7">
        <v>36.8</v>
      </c>
      <c r="I25" s="8">
        <v>310</v>
      </c>
      <c r="J25" s="7">
        <v>41.66</v>
      </c>
      <c r="K25" s="7">
        <f>5*60+13.92</f>
        <v>313.92</v>
      </c>
      <c r="N25" s="7"/>
      <c r="O25" s="8"/>
      <c r="P25" s="7"/>
      <c r="Q25" s="8"/>
      <c r="R25" s="7"/>
      <c r="S25" s="7"/>
      <c r="T25" s="7"/>
      <c r="U25" s="8"/>
      <c r="V25" s="7"/>
      <c r="W25" s="7"/>
    </row>
    <row r="26" spans="1:11" ht="12.75">
      <c r="A26" s="2"/>
      <c r="B26" s="2">
        <v>0.8996</v>
      </c>
      <c r="C26" s="2">
        <v>1.2286</v>
      </c>
      <c r="D26" s="2">
        <v>1.1721</v>
      </c>
      <c r="E26" s="2">
        <v>1.1617</v>
      </c>
      <c r="F26" s="2">
        <v>0.8754</v>
      </c>
      <c r="G26" s="2">
        <v>0.9604</v>
      </c>
      <c r="H26" s="2">
        <v>1.0218</v>
      </c>
      <c r="I26" s="2">
        <v>1.2272</v>
      </c>
      <c r="J26" s="2">
        <v>1.2278</v>
      </c>
      <c r="K26" s="2">
        <v>0.8731</v>
      </c>
    </row>
    <row r="27" spans="1:11" ht="12.75">
      <c r="A27" s="2"/>
      <c r="B27" s="11">
        <f>+ROUNDUP((B25*B26),2)</f>
        <v>11.07</v>
      </c>
      <c r="C27" s="1">
        <f>+TRUNC((C25*C26),0)</f>
        <v>728</v>
      </c>
      <c r="D27" s="11">
        <f>+TRUNC((D25*D26),2)</f>
        <v>12.11</v>
      </c>
      <c r="E27" s="1">
        <f>+TRUNC((E25*E26),0)</f>
        <v>180</v>
      </c>
      <c r="F27" s="11">
        <f>+ROUNDUP((F25*F26),2)</f>
        <v>49.91</v>
      </c>
      <c r="G27" s="11">
        <f>+ROUNDUP((G25*G26),2)</f>
        <v>15.959999999999999</v>
      </c>
      <c r="H27" s="11">
        <f>+TRUNC((H25*H26),2)</f>
        <v>37.6</v>
      </c>
      <c r="I27" s="1">
        <f>+TRUNC((I25*I26),0)</f>
        <v>380</v>
      </c>
      <c r="J27" s="11">
        <f>+TRUNC((J25*J26),2)</f>
        <v>51.15</v>
      </c>
      <c r="K27" s="11">
        <f>+ROUNDUP((K25*K26),2)</f>
        <v>274.09</v>
      </c>
    </row>
    <row r="28" spans="1:15" ht="12.75">
      <c r="A28" s="1"/>
      <c r="B28" s="8">
        <f>TRUNC(25.4347*(18-B27)^1.81)</f>
        <v>845</v>
      </c>
      <c r="C28" s="8">
        <f>TRUNC(0.14354*(C27-220)^1.4)</f>
        <v>881</v>
      </c>
      <c r="D28" s="8">
        <f>TRUNC(51.39*(D27-1.5)^1.05)</f>
        <v>613</v>
      </c>
      <c r="E28" s="8">
        <f>TRUNC(0.8465*(E27-75)^1.42)</f>
        <v>627</v>
      </c>
      <c r="F28" s="8">
        <f>TRUNC(1.53775*(82-F27)^1.81)</f>
        <v>819</v>
      </c>
      <c r="G28" s="8">
        <f>TRUNC(5.74352*(28.5-G27)^1.92)</f>
        <v>737</v>
      </c>
      <c r="H28" s="8">
        <f>TRUNC(12.91*(H27-4)^1.1)</f>
        <v>616</v>
      </c>
      <c r="I28" s="8">
        <f>TRUNC(0.2797*(I27-100)^1.35)</f>
        <v>562</v>
      </c>
      <c r="J28" s="8">
        <f>TRUNC(10.14*(J27-7)^1.08)</f>
        <v>606</v>
      </c>
      <c r="K28" s="8">
        <f>TRUNC(0.03768*(480-K27)^1.85)</f>
        <v>718</v>
      </c>
      <c r="L28" s="15">
        <f>SUM(B28:K28)</f>
        <v>7024</v>
      </c>
      <c r="M28" s="15" t="s">
        <v>55</v>
      </c>
      <c r="O28" s="45"/>
    </row>
    <row r="29" spans="2:11" ht="12.75">
      <c r="B29" s="3"/>
      <c r="C29" s="3"/>
      <c r="D29" s="3"/>
      <c r="E29" s="3"/>
      <c r="F29" s="3"/>
      <c r="G29" s="16"/>
      <c r="H29" s="3"/>
      <c r="I29" s="3"/>
      <c r="J29" s="3"/>
      <c r="K29" s="3"/>
    </row>
    <row r="30" spans="1:23" ht="12.75">
      <c r="A30" s="10">
        <v>55</v>
      </c>
      <c r="B30" s="7">
        <v>12.78</v>
      </c>
      <c r="C30" s="8">
        <v>530</v>
      </c>
      <c r="D30" s="7">
        <v>12.49</v>
      </c>
      <c r="E30" s="8">
        <v>154</v>
      </c>
      <c r="F30" s="7">
        <v>60.39</v>
      </c>
      <c r="G30" s="7">
        <v>14.97</v>
      </c>
      <c r="H30" s="7">
        <v>34.04</v>
      </c>
      <c r="I30" s="8">
        <v>320</v>
      </c>
      <c r="J30" s="7">
        <v>39.7</v>
      </c>
      <c r="K30" s="7">
        <f>6*60+37.03</f>
        <v>397.03</v>
      </c>
      <c r="N30" s="7"/>
      <c r="O30" s="8"/>
      <c r="P30" s="7"/>
      <c r="Q30" s="8"/>
      <c r="R30" s="7"/>
      <c r="S30" s="7"/>
      <c r="T30" s="7"/>
      <c r="U30" s="8"/>
      <c r="V30" s="7"/>
      <c r="W30" s="7"/>
    </row>
    <row r="31" spans="1:11" ht="12.75">
      <c r="A31" s="2"/>
      <c r="B31" s="2">
        <v>0.8705</v>
      </c>
      <c r="C31" s="2">
        <v>1.3121</v>
      </c>
      <c r="D31" s="2">
        <v>1.2706</v>
      </c>
      <c r="E31" s="2">
        <v>1.228</v>
      </c>
      <c r="F31" s="2">
        <v>0.8454</v>
      </c>
      <c r="G31" s="2">
        <v>0.9229</v>
      </c>
      <c r="H31" s="2">
        <v>1.1103</v>
      </c>
      <c r="I31" s="2">
        <v>1.3182</v>
      </c>
      <c r="J31" s="2">
        <v>1.338</v>
      </c>
      <c r="K31" s="2">
        <v>0.8337</v>
      </c>
    </row>
    <row r="32" spans="1:11" ht="12.75">
      <c r="A32" s="2"/>
      <c r="B32" s="11">
        <f>+ROUNDUP((B30*B31),2)</f>
        <v>11.129999999999999</v>
      </c>
      <c r="C32" s="1">
        <f>+TRUNC((C30*C31),0)</f>
        <v>695</v>
      </c>
      <c r="D32" s="11">
        <f>+TRUNC((D30*D31),2)</f>
        <v>15.86</v>
      </c>
      <c r="E32" s="1">
        <f>+TRUNC((E30*E31),0)</f>
        <v>189</v>
      </c>
      <c r="F32" s="11">
        <f>+ROUNDUP((F30*F31),2)</f>
        <v>51.059999999999995</v>
      </c>
      <c r="G32" s="11">
        <f>+ROUNDUP((G30*G31),2)</f>
        <v>13.82</v>
      </c>
      <c r="H32" s="11">
        <f>+TRUNC((H30*H31),2)</f>
        <v>37.79</v>
      </c>
      <c r="I32" s="1">
        <f>+TRUNC((I30*I31),0)</f>
        <v>421</v>
      </c>
      <c r="J32" s="11">
        <f>+TRUNC((J30*J31),2)</f>
        <v>53.11</v>
      </c>
      <c r="K32" s="11">
        <f>+ROUNDUP((K30*K31),2)</f>
        <v>331.01</v>
      </c>
    </row>
    <row r="33" spans="1:15" ht="12.75">
      <c r="A33" s="1"/>
      <c r="B33" s="8">
        <f>TRUNC(25.4347*(18-B32)^1.81)</f>
        <v>832</v>
      </c>
      <c r="C33" s="8">
        <f>TRUNC(0.14354*(C32-220)^1.4)</f>
        <v>802</v>
      </c>
      <c r="D33" s="8">
        <f>TRUNC(51.39*(D32-1.5)^1.05)</f>
        <v>843</v>
      </c>
      <c r="E33" s="8">
        <f>TRUNC(0.8465*(E32-75)^1.42)</f>
        <v>705</v>
      </c>
      <c r="F33" s="8">
        <f>TRUNC(1.53775*(82-F32)^1.81)</f>
        <v>766</v>
      </c>
      <c r="G33" s="8">
        <f>TRUNC(5.74352*(28.5-G32)^1.92)</f>
        <v>998</v>
      </c>
      <c r="H33" s="8">
        <f>TRUNC(12.91*(H32-4)^1.1)</f>
        <v>620</v>
      </c>
      <c r="I33" s="8">
        <f>TRUNC(0.2797*(I32-100)^1.35)</f>
        <v>676</v>
      </c>
      <c r="J33" s="8">
        <f>TRUNC(10.14*(J32-7)^1.08)</f>
        <v>635</v>
      </c>
      <c r="K33" s="8">
        <f>TRUNC(0.03768*(480-K32)^1.85)</f>
        <v>394</v>
      </c>
      <c r="L33" s="15">
        <f>SUM(B33:K33)</f>
        <v>7271</v>
      </c>
      <c r="M33" s="44" t="s">
        <v>94</v>
      </c>
      <c r="N33" s="19"/>
      <c r="O33" s="47"/>
    </row>
    <row r="34" spans="1:11" ht="12.75">
      <c r="A34" t="s">
        <v>0</v>
      </c>
      <c r="B34" s="2"/>
      <c r="C34" s="2"/>
      <c r="D34" s="2"/>
      <c r="E34" s="2"/>
      <c r="F34" s="2"/>
      <c r="G34" s="16"/>
      <c r="H34" s="2"/>
      <c r="I34" s="2"/>
      <c r="J34" s="2"/>
      <c r="K34" s="2"/>
    </row>
    <row r="35" spans="1:23" ht="12.75">
      <c r="A35" s="10">
        <v>60</v>
      </c>
      <c r="B35" s="7">
        <v>13.41</v>
      </c>
      <c r="C35" s="8">
        <v>502</v>
      </c>
      <c r="D35" s="7">
        <v>11.01</v>
      </c>
      <c r="E35" s="8">
        <v>155</v>
      </c>
      <c r="F35" s="7">
        <v>68.06</v>
      </c>
      <c r="G35" s="7">
        <v>17.37</v>
      </c>
      <c r="H35" s="7">
        <v>33.86</v>
      </c>
      <c r="I35" s="8">
        <v>340</v>
      </c>
      <c r="J35" s="7">
        <v>38.46</v>
      </c>
      <c r="K35" s="7">
        <f>7*60+12.3</f>
        <v>432.3</v>
      </c>
      <c r="N35" s="7"/>
      <c r="O35" s="8"/>
      <c r="P35" s="7"/>
      <c r="Q35" s="8"/>
      <c r="R35" s="7"/>
      <c r="S35" s="7"/>
      <c r="T35" s="7"/>
      <c r="U35" s="8"/>
      <c r="V35" s="7"/>
      <c r="W35" s="7"/>
    </row>
    <row r="36" spans="1:11" ht="12.75">
      <c r="A36" s="2"/>
      <c r="B36" s="2">
        <v>0.8414</v>
      </c>
      <c r="C36" s="2">
        <v>1.4078</v>
      </c>
      <c r="D36" s="2">
        <v>1.2482</v>
      </c>
      <c r="E36" s="2">
        <v>1.3025</v>
      </c>
      <c r="F36" s="2">
        <v>0.8154</v>
      </c>
      <c r="G36" s="2">
        <v>0.9012</v>
      </c>
      <c r="H36" s="2">
        <v>1.0628</v>
      </c>
      <c r="I36" s="2">
        <v>1.4236</v>
      </c>
      <c r="J36" s="2">
        <v>1.414</v>
      </c>
      <c r="K36" s="2">
        <v>0.7939</v>
      </c>
    </row>
    <row r="37" spans="1:11" ht="12.75">
      <c r="A37" s="2"/>
      <c r="B37" s="11">
        <f>+ROUNDUP((B35*B36),2)</f>
        <v>11.29</v>
      </c>
      <c r="C37" s="1">
        <f>+TRUNC((C35*C36),0)</f>
        <v>706</v>
      </c>
      <c r="D37" s="11">
        <f>+TRUNC((D35*D36),2)</f>
        <v>13.74</v>
      </c>
      <c r="E37" s="1">
        <f>+TRUNC((E35*E36),0)</f>
        <v>201</v>
      </c>
      <c r="F37" s="11">
        <f>+ROUNDUP((F35*F36),2)</f>
        <v>55.5</v>
      </c>
      <c r="G37" s="11">
        <f>+ROUNDUP((G35*G36),2)</f>
        <v>15.66</v>
      </c>
      <c r="H37" s="11">
        <f>+TRUNC((H35*H36),2)</f>
        <v>35.98</v>
      </c>
      <c r="I37" s="1">
        <f>+TRUNC((I35*I36),0)</f>
        <v>484</v>
      </c>
      <c r="J37" s="11">
        <f>+TRUNC((J35*J36),2)</f>
        <v>54.38</v>
      </c>
      <c r="K37" s="11">
        <f>+ROUNDUP((K35*K36),2)</f>
        <v>343.21</v>
      </c>
    </row>
    <row r="38" spans="1:15" ht="12.75">
      <c r="A38" s="1"/>
      <c r="B38" s="8">
        <f>TRUNC(25.4347*(18-B37)^1.81)</f>
        <v>797</v>
      </c>
      <c r="C38" s="8">
        <f>TRUNC(0.14354*(C37-220)^1.4)</f>
        <v>828</v>
      </c>
      <c r="D38" s="8">
        <f>TRUNC(51.39*(D37-1.5)^1.05)</f>
        <v>712</v>
      </c>
      <c r="E38" s="8">
        <f>TRUNC(0.8465*(E37-75)^1.42)</f>
        <v>813</v>
      </c>
      <c r="F38" s="8">
        <f>TRUNC(1.53775*(82-F37)^1.81)</f>
        <v>579</v>
      </c>
      <c r="G38" s="8">
        <f>TRUNC(5.74352*(28.5-G37)^1.92)</f>
        <v>772</v>
      </c>
      <c r="H38" s="8">
        <f>TRUNC(12.91*(H37-4)^1.1)</f>
        <v>583</v>
      </c>
      <c r="I38" s="8">
        <f>TRUNC(0.2797*(I37-100)^1.35)</f>
        <v>862</v>
      </c>
      <c r="J38" s="8">
        <f>TRUNC(10.14*(J37-7)^1.08)</f>
        <v>654</v>
      </c>
      <c r="K38" s="8">
        <f>TRUNC(0.03768*(480-K37)^1.85)</f>
        <v>337</v>
      </c>
      <c r="L38" s="15">
        <f>SUM(B38:K38)</f>
        <v>6937</v>
      </c>
      <c r="M38" s="44" t="s">
        <v>87</v>
      </c>
      <c r="N38" s="19"/>
      <c r="O38" s="45"/>
    </row>
    <row r="39" spans="2:11" ht="12.75">
      <c r="B39" s="3"/>
      <c r="C39" s="3"/>
      <c r="D39" s="3"/>
      <c r="E39" s="3"/>
      <c r="F39" s="3"/>
      <c r="G39" s="16"/>
      <c r="H39" s="3"/>
      <c r="I39" s="3"/>
      <c r="J39" s="3"/>
      <c r="K39" s="3"/>
    </row>
    <row r="40" spans="1:23" ht="12.75">
      <c r="A40" s="10">
        <v>65</v>
      </c>
      <c r="B40" s="7">
        <v>14.35</v>
      </c>
      <c r="C40" s="8">
        <v>437</v>
      </c>
      <c r="D40" s="7">
        <v>10.86</v>
      </c>
      <c r="E40" s="8">
        <v>148</v>
      </c>
      <c r="F40" s="7">
        <v>71.61</v>
      </c>
      <c r="G40" s="7">
        <v>17.57</v>
      </c>
      <c r="H40" s="7">
        <v>33.18</v>
      </c>
      <c r="I40" s="8">
        <v>260</v>
      </c>
      <c r="J40" s="7">
        <v>30.43</v>
      </c>
      <c r="K40" s="7">
        <f>7*60+10.8</f>
        <v>430.8</v>
      </c>
      <c r="N40" s="7"/>
      <c r="O40" s="8"/>
      <c r="P40" s="7"/>
      <c r="Q40" s="8"/>
      <c r="R40" s="7"/>
      <c r="S40" s="7"/>
      <c r="T40" s="7"/>
      <c r="U40" s="8"/>
      <c r="V40" s="7"/>
      <c r="W40" s="7"/>
    </row>
    <row r="41" spans="1:23" ht="12.75">
      <c r="A41" s="2"/>
      <c r="B41" s="2">
        <v>0.8111</v>
      </c>
      <c r="C41" s="2">
        <v>1.5186</v>
      </c>
      <c r="D41" s="2">
        <v>1.3607</v>
      </c>
      <c r="E41" s="2">
        <v>1.3869</v>
      </c>
      <c r="F41" s="2">
        <v>0.7836</v>
      </c>
      <c r="G41" s="2">
        <v>0.8637</v>
      </c>
      <c r="H41" s="2">
        <v>1.1637</v>
      </c>
      <c r="I41" s="2">
        <v>1.5475</v>
      </c>
      <c r="J41" s="2">
        <v>1.562</v>
      </c>
      <c r="K41" s="2">
        <v>0.7529</v>
      </c>
      <c r="N41" s="7"/>
      <c r="O41" s="8"/>
      <c r="P41" s="7"/>
      <c r="Q41" s="8"/>
      <c r="R41" s="7"/>
      <c r="S41" s="7"/>
      <c r="T41" s="7"/>
      <c r="U41" s="8"/>
      <c r="V41" s="7"/>
      <c r="W41" s="7"/>
    </row>
    <row r="42" spans="1:11" ht="12.75">
      <c r="A42" s="2"/>
      <c r="B42" s="11">
        <f>+ROUNDUP((B40*B41),2)</f>
        <v>11.64</v>
      </c>
      <c r="C42" s="1">
        <f>+TRUNC((C40*C41),0)</f>
        <v>663</v>
      </c>
      <c r="D42" s="11">
        <f>+TRUNC((D40*D41),2)</f>
        <v>14.77</v>
      </c>
      <c r="E42" s="1">
        <f>+TRUNC((E40*E41),0)</f>
        <v>205</v>
      </c>
      <c r="F42" s="11">
        <f>+ROUNDUP((F40*F41),2)</f>
        <v>56.12</v>
      </c>
      <c r="G42" s="11">
        <f>+ROUNDUP((G40*G41),2)</f>
        <v>15.18</v>
      </c>
      <c r="H42" s="11">
        <f>+TRUNC((H40*H41),2)</f>
        <v>38.61</v>
      </c>
      <c r="I42" s="1">
        <f>+TRUNC((I40*I41),0)</f>
        <v>402</v>
      </c>
      <c r="J42" s="11">
        <f>+TRUNC((J40*J41),2)</f>
        <v>47.53</v>
      </c>
      <c r="K42" s="11">
        <f>+ROUNDUP((K40*K41),2)</f>
        <v>324.34999999999997</v>
      </c>
    </row>
    <row r="43" spans="1:13" ht="12.75">
      <c r="A43" s="1"/>
      <c r="B43" s="8">
        <f>TRUNC(25.4347*(18-B42)^1.81)</f>
        <v>723</v>
      </c>
      <c r="C43" s="8">
        <f>TRUNC(0.14354*(C42-220)^1.4)</f>
        <v>727</v>
      </c>
      <c r="D43" s="8">
        <f>TRUNC(51.39*(D42-1.5)^1.05)</f>
        <v>776</v>
      </c>
      <c r="E43" s="8">
        <f>TRUNC(0.8465*(E42-75)^1.42)</f>
        <v>850</v>
      </c>
      <c r="F43" s="8">
        <f>TRUNC(1.53775*(82-F42)^1.81)</f>
        <v>555</v>
      </c>
      <c r="G43" s="8">
        <f>TRUNC(5.74352*(28.5-G42)^1.92)</f>
        <v>828</v>
      </c>
      <c r="H43" s="8">
        <f>TRUNC(12.91*(H42-4)^1.1)</f>
        <v>636</v>
      </c>
      <c r="I43" s="8">
        <f>TRUNC(0.2797*(I42-100)^1.35)</f>
        <v>623</v>
      </c>
      <c r="J43" s="8">
        <f>TRUNC(10.14*(J42-7)^1.08)</f>
        <v>552</v>
      </c>
      <c r="K43" s="8">
        <f>TRUNC(0.03768*(480-K42)^1.85)</f>
        <v>428</v>
      </c>
      <c r="L43" s="15">
        <f>SUM(B43:K43)</f>
        <v>6698</v>
      </c>
      <c r="M43" s="44" t="s">
        <v>41</v>
      </c>
    </row>
    <row r="44" spans="3:9" ht="12.75">
      <c r="C44" s="2"/>
      <c r="D44" s="2"/>
      <c r="E44" s="2"/>
      <c r="G44" s="16"/>
      <c r="I44" s="2"/>
    </row>
    <row r="45" spans="1:23" ht="12.75">
      <c r="A45" s="10">
        <v>70</v>
      </c>
      <c r="B45" s="7">
        <v>14.67</v>
      </c>
      <c r="C45" s="8">
        <v>432</v>
      </c>
      <c r="D45" s="7">
        <v>11.57</v>
      </c>
      <c r="E45" s="8">
        <v>141</v>
      </c>
      <c r="F45" s="7">
        <v>72.49</v>
      </c>
      <c r="G45" s="7">
        <v>14.69</v>
      </c>
      <c r="H45" s="7">
        <v>39</v>
      </c>
      <c r="I45" s="8">
        <v>240</v>
      </c>
      <c r="J45" s="7">
        <v>36.15</v>
      </c>
      <c r="K45" s="7">
        <f>7*60+2.69</f>
        <v>422.69</v>
      </c>
      <c r="N45" s="7"/>
      <c r="O45" s="8"/>
      <c r="P45" s="7"/>
      <c r="Q45" s="8"/>
      <c r="R45" s="7"/>
      <c r="S45" s="7"/>
      <c r="T45" s="7"/>
      <c r="U45" s="8"/>
      <c r="V45" s="7"/>
      <c r="W45" s="7"/>
    </row>
    <row r="46" spans="1:11" ht="12.75">
      <c r="A46" s="2"/>
      <c r="B46" s="2">
        <v>0.7782</v>
      </c>
      <c r="C46" s="2">
        <v>1.6482</v>
      </c>
      <c r="D46" s="57">
        <v>1.2806</v>
      </c>
      <c r="E46" s="2">
        <v>1.4832</v>
      </c>
      <c r="F46" s="2">
        <v>0.746</v>
      </c>
      <c r="G46" s="2">
        <v>1.022</v>
      </c>
      <c r="H46" s="2">
        <v>1.2781</v>
      </c>
      <c r="I46" s="2">
        <v>1.6949</v>
      </c>
      <c r="J46" s="2">
        <v>1.6801</v>
      </c>
      <c r="K46" s="2">
        <v>0.7079</v>
      </c>
    </row>
    <row r="47" spans="1:11" ht="12.75">
      <c r="A47" s="2"/>
      <c r="B47" s="11">
        <f>+ROUNDUP((B45*B46),2)</f>
        <v>11.42</v>
      </c>
      <c r="C47" s="1">
        <f>+TRUNC((C45*C46),0)</f>
        <v>712</v>
      </c>
      <c r="D47" s="11">
        <f>+TRUNC((D45*D46),2)</f>
        <v>14.81</v>
      </c>
      <c r="E47" s="1">
        <f>+TRUNC((E45*E46),0)</f>
        <v>209</v>
      </c>
      <c r="F47" s="11">
        <f>+ROUNDUP((F45*F46),2)</f>
        <v>54.08</v>
      </c>
      <c r="G47" s="11">
        <f>+ROUNDUP((G45*G46),2)</f>
        <v>15.02</v>
      </c>
      <c r="H47" s="11">
        <f>+TRUNC((H45*H46),2)</f>
        <v>49.84</v>
      </c>
      <c r="I47" s="1">
        <f>+TRUNC((I45*I46),0)</f>
        <v>406</v>
      </c>
      <c r="J47" s="11">
        <f>+TRUNC((J45*J46),2)</f>
        <v>60.73</v>
      </c>
      <c r="K47" s="11">
        <f>+ROUNDUP((K45*K46),2)</f>
        <v>299.23</v>
      </c>
    </row>
    <row r="48" spans="1:15" ht="12.75">
      <c r="A48" s="1"/>
      <c r="B48" s="8">
        <f>TRUNC(25.4347*(18-B47)^1.81)</f>
        <v>769</v>
      </c>
      <c r="C48" s="8">
        <f>TRUNC(0.14354*(C47-220)^1.4)</f>
        <v>842</v>
      </c>
      <c r="D48" s="8">
        <f>TRUNC(51.39*(D47-1.5)^1.05)</f>
        <v>778</v>
      </c>
      <c r="E48" s="8">
        <f>TRUNC(0.8465*(E47-75)^1.42)</f>
        <v>887</v>
      </c>
      <c r="F48" s="8">
        <f>TRUNC(1.53775*(82-F47)^1.81)</f>
        <v>636</v>
      </c>
      <c r="G48" s="8">
        <f>TRUNC(5.74352*(28.5-G47)^1.92)</f>
        <v>847</v>
      </c>
      <c r="H48" s="8">
        <f>TRUNC(12.91*(H47-4)^1.1)</f>
        <v>867</v>
      </c>
      <c r="I48" s="8">
        <f>TRUNC(0.2797*(I47-100)^1.35)</f>
        <v>634</v>
      </c>
      <c r="J48" s="8">
        <f>TRUNC(10.14*(J47-7)^1.08)</f>
        <v>749</v>
      </c>
      <c r="K48" s="8">
        <f>TRUNC(0.03768*(480-K47)^1.85)</f>
        <v>564</v>
      </c>
      <c r="L48" s="15">
        <f>SUM(B48:K48)</f>
        <v>7573</v>
      </c>
      <c r="M48" s="15" t="s">
        <v>56</v>
      </c>
      <c r="O48" s="45"/>
    </row>
    <row r="49" spans="3:9" ht="12.75">
      <c r="C49" s="2"/>
      <c r="D49" s="2"/>
      <c r="E49" s="2"/>
      <c r="G49" s="16"/>
      <c r="I49" s="2"/>
    </row>
    <row r="50" spans="1:23" ht="12.75">
      <c r="A50" s="10">
        <v>75</v>
      </c>
      <c r="B50" s="7">
        <v>15.61</v>
      </c>
      <c r="C50" s="8">
        <v>395</v>
      </c>
      <c r="D50" s="7">
        <v>9.59</v>
      </c>
      <c r="E50" s="8">
        <v>118</v>
      </c>
      <c r="F50" s="7">
        <v>78.5</v>
      </c>
      <c r="G50" s="7">
        <v>16.76</v>
      </c>
      <c r="H50" s="7">
        <v>25.46</v>
      </c>
      <c r="I50" s="8">
        <v>250</v>
      </c>
      <c r="J50" s="7">
        <v>34</v>
      </c>
      <c r="K50" s="7">
        <f>6*60+50.82</f>
        <v>410.82</v>
      </c>
      <c r="N50" s="7"/>
      <c r="O50" s="8"/>
      <c r="P50" s="7"/>
      <c r="Q50" s="8"/>
      <c r="R50" s="7"/>
      <c r="S50" s="7"/>
      <c r="T50" s="7"/>
      <c r="U50" s="8"/>
      <c r="V50" s="7"/>
      <c r="W50" s="7"/>
    </row>
    <row r="51" spans="1:11" ht="12.75">
      <c r="A51" s="2"/>
      <c r="B51" s="2">
        <v>0.7409</v>
      </c>
      <c r="C51" s="2">
        <v>1.8021</v>
      </c>
      <c r="D51" s="57">
        <v>1.3993</v>
      </c>
      <c r="E51" s="2">
        <v>1.5943</v>
      </c>
      <c r="F51" s="2">
        <v>0.6984</v>
      </c>
      <c r="G51" s="2">
        <v>0.9845</v>
      </c>
      <c r="H51" s="2">
        <v>1.4332</v>
      </c>
      <c r="I51" s="2">
        <v>1.8733</v>
      </c>
      <c r="J51" s="2">
        <v>1.8932</v>
      </c>
      <c r="K51" s="2">
        <v>0.6556</v>
      </c>
    </row>
    <row r="52" spans="1:11" ht="12.75">
      <c r="A52" s="2"/>
      <c r="B52" s="11">
        <f>+ROUNDUP((B50*B51),2)</f>
        <v>11.57</v>
      </c>
      <c r="C52" s="1">
        <f>+TRUNC((C50*C51),0)</f>
        <v>711</v>
      </c>
      <c r="D52" s="11">
        <f>+TRUNC((D50*D51),2)</f>
        <v>13.41</v>
      </c>
      <c r="E52" s="1">
        <f>+TRUNC((E50*E51),0)</f>
        <v>188</v>
      </c>
      <c r="F52" s="11">
        <f>+ROUNDUP((F50*F51),2)</f>
        <v>54.83</v>
      </c>
      <c r="G52" s="11">
        <f>+ROUNDUP((G50*G51),2)</f>
        <v>16.51</v>
      </c>
      <c r="H52" s="11">
        <f>+TRUNC((H50*H51),2)</f>
        <v>36.48</v>
      </c>
      <c r="I52" s="1">
        <f>+TRUNC((I50*I51),0)</f>
        <v>468</v>
      </c>
      <c r="J52" s="11">
        <f>+TRUNC((J50*J51),2)</f>
        <v>64.36</v>
      </c>
      <c r="K52" s="11">
        <f>+ROUNDUP((K50*K51),2)</f>
        <v>269.34</v>
      </c>
    </row>
    <row r="53" spans="1:13" ht="12.75">
      <c r="A53" s="1"/>
      <c r="B53" s="8">
        <f>TRUNC(25.4347*(18-B52)^1.81)</f>
        <v>738</v>
      </c>
      <c r="C53" s="8">
        <f>TRUNC(0.14354*(C52-220)^1.4)</f>
        <v>840</v>
      </c>
      <c r="D53" s="8">
        <f>TRUNC(51.39*(D52-1.5)^1.05)</f>
        <v>692</v>
      </c>
      <c r="E53" s="8">
        <f>TRUNC(0.8465*(E52-75)^1.42)</f>
        <v>696</v>
      </c>
      <c r="F53" s="8">
        <f>TRUNC(1.53775*(82-F52)^1.81)</f>
        <v>606</v>
      </c>
      <c r="G53" s="8">
        <f>TRUNC(5.74352*(28.5-G52)^1.92)</f>
        <v>676</v>
      </c>
      <c r="H53" s="8">
        <f>TRUNC(12.91*(H52-4)^1.1)</f>
        <v>593</v>
      </c>
      <c r="I53" s="8">
        <f>TRUNC(0.2797*(I52-100)^1.35)</f>
        <v>813</v>
      </c>
      <c r="J53" s="8">
        <f>TRUNC(10.14*(J52-7)^1.08)</f>
        <v>804</v>
      </c>
      <c r="K53" s="8">
        <f>TRUNC(0.03768*(480-K52)^1.85)</f>
        <v>749</v>
      </c>
      <c r="L53" s="15">
        <f>SUM(B53:K53)</f>
        <v>7207</v>
      </c>
      <c r="M53" s="44" t="s">
        <v>83</v>
      </c>
    </row>
    <row r="54" spans="3:9" ht="12.75">
      <c r="C54" s="2"/>
      <c r="D54" s="2"/>
      <c r="E54" s="2"/>
      <c r="G54" s="16"/>
      <c r="I54" s="2"/>
    </row>
    <row r="55" spans="1:23" ht="12.75">
      <c r="A55" s="10">
        <v>80</v>
      </c>
      <c r="B55" s="7">
        <v>16.99</v>
      </c>
      <c r="C55" s="8">
        <v>318</v>
      </c>
      <c r="D55" s="7">
        <v>9.05</v>
      </c>
      <c r="E55" s="8">
        <v>107</v>
      </c>
      <c r="F55" s="7">
        <v>85.72</v>
      </c>
      <c r="G55" s="7">
        <v>21.61</v>
      </c>
      <c r="H55" s="7">
        <v>23</v>
      </c>
      <c r="I55" s="8">
        <v>200</v>
      </c>
      <c r="J55" s="7">
        <v>23.9</v>
      </c>
      <c r="K55" s="7">
        <f>7*60+52.03</f>
        <v>472.03</v>
      </c>
      <c r="N55" s="7"/>
      <c r="O55" s="8"/>
      <c r="P55" s="7"/>
      <c r="Q55" s="8"/>
      <c r="R55" s="7"/>
      <c r="S55" s="7"/>
      <c r="T55" s="7"/>
      <c r="U55" s="8"/>
      <c r="V55" s="7"/>
      <c r="W55" s="7"/>
    </row>
    <row r="56" spans="1:11" ht="12.75">
      <c r="A56" s="2"/>
      <c r="B56" s="2">
        <v>0.6967</v>
      </c>
      <c r="C56" s="2">
        <v>1.9876</v>
      </c>
      <c r="D56" s="57">
        <v>1.5053</v>
      </c>
      <c r="E56" s="2">
        <v>1.7241</v>
      </c>
      <c r="F56" s="2">
        <v>0.6363</v>
      </c>
      <c r="G56" s="2">
        <v>0.8912</v>
      </c>
      <c r="H56" s="2">
        <v>1.6441</v>
      </c>
      <c r="I56" s="2">
        <v>2.0938</v>
      </c>
      <c r="J56" s="2">
        <v>2.0952</v>
      </c>
      <c r="K56" s="2">
        <v>0.592</v>
      </c>
    </row>
    <row r="57" spans="1:11" ht="12.75">
      <c r="A57" s="2"/>
      <c r="B57" s="11">
        <f>+ROUNDUP((B55*B56),2)</f>
        <v>11.84</v>
      </c>
      <c r="C57" s="1">
        <f>+TRUNC((C55*C56),0)</f>
        <v>632</v>
      </c>
      <c r="D57" s="11">
        <f>+TRUNC((D55*D56),2)</f>
        <v>13.62</v>
      </c>
      <c r="E57" s="1">
        <f>+TRUNC((E55*E56),0)</f>
        <v>184</v>
      </c>
      <c r="F57" s="11">
        <f>+ROUNDUP((F55*F56),2)</f>
        <v>54.55</v>
      </c>
      <c r="G57" s="11">
        <f>+ROUNDUP((G55*G56),2)</f>
        <v>19.26</v>
      </c>
      <c r="H57" s="11">
        <f>+TRUNC((H55*H56),2)</f>
        <v>37.81</v>
      </c>
      <c r="I57" s="1">
        <f>+TRUNC((I55*I56),0)</f>
        <v>418</v>
      </c>
      <c r="J57" s="11">
        <f>+TRUNC((J55*J56),2)</f>
        <v>50.07</v>
      </c>
      <c r="K57" s="11">
        <f>+ROUNDUP((K55*K56),2)</f>
        <v>279.45</v>
      </c>
    </row>
    <row r="58" spans="1:13" ht="12.75">
      <c r="A58" s="1"/>
      <c r="B58" s="8">
        <f>TRUNC(25.4347*(18-B57)^1.81)</f>
        <v>683</v>
      </c>
      <c r="C58" s="8">
        <f>TRUNC(0.14354*(C57-220)^1.4)</f>
        <v>657</v>
      </c>
      <c r="D58" s="8">
        <f>TRUNC(51.39*(D57-1.5)^1.05)</f>
        <v>705</v>
      </c>
      <c r="E58" s="8">
        <f>TRUNC(0.8465*(E57-75)^1.42)</f>
        <v>661</v>
      </c>
      <c r="F58" s="8">
        <f>TRUNC(1.53775*(82-F57)^1.81)</f>
        <v>617</v>
      </c>
      <c r="G58" s="8">
        <f>TRUNC(5.74352*(28.5-G57)^1.92)</f>
        <v>410</v>
      </c>
      <c r="H58" s="8">
        <f>TRUNC(12.91*(H57-4)^1.1)</f>
        <v>620</v>
      </c>
      <c r="I58" s="8">
        <f>TRUNC(0.2797*(I57-100)^1.35)</f>
        <v>668</v>
      </c>
      <c r="J58" s="8">
        <f>TRUNC(10.14*(J57-7)^1.08)</f>
        <v>590</v>
      </c>
      <c r="K58" s="8">
        <f>TRUNC(0.03768*(480-K57)^1.85)</f>
        <v>684</v>
      </c>
      <c r="L58" s="15">
        <f>SUM(B58:K58)</f>
        <v>6295</v>
      </c>
      <c r="M58" s="15" t="s">
        <v>57</v>
      </c>
    </row>
    <row r="59" spans="3:9" ht="12.75">
      <c r="C59" s="2"/>
      <c r="D59" s="2"/>
      <c r="E59" s="2"/>
      <c r="G59" s="16"/>
      <c r="I59" s="2"/>
    </row>
    <row r="60" spans="1:23" ht="12.75">
      <c r="A60" s="10">
        <v>85</v>
      </c>
      <c r="B60" s="7">
        <v>18.36</v>
      </c>
      <c r="C60" s="8">
        <v>281</v>
      </c>
      <c r="D60" s="25">
        <v>8.04</v>
      </c>
      <c r="E60" s="8">
        <v>101</v>
      </c>
      <c r="F60" s="7">
        <v>93.83</v>
      </c>
      <c r="G60" s="7">
        <v>20.47</v>
      </c>
      <c r="H60" s="7">
        <v>16.07</v>
      </c>
      <c r="I60" s="8">
        <v>190</v>
      </c>
      <c r="J60" s="7">
        <v>19.56</v>
      </c>
      <c r="K60" s="7">
        <f>8*60+49.39</f>
        <v>529.39</v>
      </c>
      <c r="N60" s="7"/>
      <c r="O60" s="8"/>
      <c r="P60" s="25"/>
      <c r="Q60" s="8"/>
      <c r="R60" s="7"/>
      <c r="S60" s="7"/>
      <c r="T60" s="7"/>
      <c r="U60" s="8"/>
      <c r="V60" s="7"/>
      <c r="W60" s="7"/>
    </row>
    <row r="61" spans="1:11" ht="12.75">
      <c r="A61" s="2"/>
      <c r="B61" s="2">
        <v>0.6423</v>
      </c>
      <c r="C61" s="2">
        <v>2.2158</v>
      </c>
      <c r="D61" s="57">
        <v>1.6866</v>
      </c>
      <c r="E61" s="2">
        <v>1.8779</v>
      </c>
      <c r="F61" s="2">
        <v>0.5548</v>
      </c>
      <c r="G61" s="2">
        <v>0.8344</v>
      </c>
      <c r="H61" s="2">
        <v>1.9508</v>
      </c>
      <c r="I61" s="2">
        <v>2.373</v>
      </c>
      <c r="J61" s="2">
        <v>2.4378</v>
      </c>
      <c r="K61" s="2">
        <v>0.5121</v>
      </c>
    </row>
    <row r="62" spans="1:11" ht="12.75">
      <c r="A62" s="2"/>
      <c r="B62" s="11">
        <f>+ROUNDUP((B60*B61),2)</f>
        <v>11.799999999999999</v>
      </c>
      <c r="C62" s="1">
        <f>+TRUNC((C60*C61),0)</f>
        <v>622</v>
      </c>
      <c r="D62" s="22">
        <f>+TRUNC((D60*D61),2)</f>
        <v>13.56</v>
      </c>
      <c r="E62" s="1">
        <f>+TRUNC((E60*E61),0)</f>
        <v>189</v>
      </c>
      <c r="F62" s="11">
        <f>+ROUNDUP((F60*F61),2)</f>
        <v>52.059999999999995</v>
      </c>
      <c r="G62" s="11">
        <f>+ROUNDUP((G60*G61),2)</f>
        <v>17.09</v>
      </c>
      <c r="H62" s="11">
        <f>+TRUNC((H60*H61),2)</f>
        <v>31.34</v>
      </c>
      <c r="I62" s="1">
        <f>+TRUNC((I60*I61),0)</f>
        <v>450</v>
      </c>
      <c r="J62" s="11">
        <f>+TRUNC((J60*J61),2)</f>
        <v>47.68</v>
      </c>
      <c r="K62" s="11">
        <f>+ROUNDUP((K60*K61),2)</f>
        <v>271.11</v>
      </c>
    </row>
    <row r="63" spans="1:15" ht="12.75">
      <c r="A63" s="1"/>
      <c r="B63" s="8">
        <f>TRUNC(25.4347*(18-B62)^1.81)</f>
        <v>691</v>
      </c>
      <c r="C63" s="8">
        <f>TRUNC(0.14354*(C62-220)^1.4)</f>
        <v>635</v>
      </c>
      <c r="D63" s="23">
        <f>TRUNC(51.39*(D62-1.5)^1.05)</f>
        <v>701</v>
      </c>
      <c r="E63" s="8">
        <f>TRUNC(0.8465*(E62-75)^1.42)</f>
        <v>705</v>
      </c>
      <c r="F63" s="8">
        <f>TRUNC(1.53775*(82-F62)^1.81)</f>
        <v>722</v>
      </c>
      <c r="G63" s="8">
        <f>TRUNC(5.74352*(28.5-G62)^1.92)</f>
        <v>615</v>
      </c>
      <c r="H63" s="8">
        <f>TRUNC(12.91*(H62-4)^1.1)</f>
        <v>491</v>
      </c>
      <c r="I63" s="8">
        <f>TRUNC(0.2797*(I62-100)^1.35)</f>
        <v>760</v>
      </c>
      <c r="J63" s="8">
        <f>TRUNC(10.14*(J62-7)^1.08)</f>
        <v>554</v>
      </c>
      <c r="K63" s="8">
        <f>TRUNC(0.03768*(480-K62)^1.85)</f>
        <v>737</v>
      </c>
      <c r="L63" s="15">
        <f>SUM(B63:K63)</f>
        <v>6611</v>
      </c>
      <c r="M63" s="15" t="s">
        <v>57</v>
      </c>
      <c r="O63" s="45"/>
    </row>
    <row r="64" spans="3:9" ht="12.75">
      <c r="C64" s="2"/>
      <c r="D64" s="21"/>
      <c r="E64" s="2"/>
      <c r="G64" s="16"/>
      <c r="I64" s="2"/>
    </row>
    <row r="65" spans="1:23" ht="12.75">
      <c r="A65" s="10">
        <v>90</v>
      </c>
      <c r="B65" s="7">
        <v>18.36</v>
      </c>
      <c r="C65" s="8">
        <v>281</v>
      </c>
      <c r="D65" s="25">
        <v>8.04</v>
      </c>
      <c r="E65" s="8">
        <v>101</v>
      </c>
      <c r="F65" s="7">
        <v>93.83</v>
      </c>
      <c r="G65" s="7">
        <v>20.47</v>
      </c>
      <c r="H65" s="7">
        <v>16.07</v>
      </c>
      <c r="I65" s="8">
        <v>190</v>
      </c>
      <c r="J65" s="7">
        <v>19.56</v>
      </c>
      <c r="K65" s="7">
        <f>8*60+49.39</f>
        <v>529.39</v>
      </c>
      <c r="N65" s="7"/>
      <c r="O65" s="8"/>
      <c r="P65" s="25"/>
      <c r="Q65" s="8"/>
      <c r="R65" s="7"/>
      <c r="S65" s="7"/>
      <c r="T65" s="7"/>
      <c r="U65" s="8"/>
      <c r="V65" s="7"/>
      <c r="W65" s="7"/>
    </row>
    <row r="66" spans="1:11" ht="12.75">
      <c r="A66" s="2"/>
      <c r="B66" s="2">
        <v>0.5735</v>
      </c>
      <c r="C66" s="2">
        <v>2.5031</v>
      </c>
      <c r="D66" s="57">
        <v>1.9535</v>
      </c>
      <c r="E66" s="2">
        <v>2.0635</v>
      </c>
      <c r="F66" s="2">
        <v>0.4485</v>
      </c>
      <c r="G66" s="2">
        <v>0.7496</v>
      </c>
      <c r="H66" s="2">
        <v>2.4402</v>
      </c>
      <c r="I66" s="2">
        <v>2.7382</v>
      </c>
      <c r="J66" s="2">
        <v>2.9137</v>
      </c>
      <c r="K66" s="2">
        <v>0.4095</v>
      </c>
    </row>
    <row r="67" spans="1:11" ht="12.75">
      <c r="A67" s="2"/>
      <c r="B67" s="11">
        <f>+ROUNDUP((B65*B66),2)</f>
        <v>10.53</v>
      </c>
      <c r="C67" s="1">
        <f>+TRUNC((C65*C66),0)</f>
        <v>703</v>
      </c>
      <c r="D67" s="22">
        <f>+TRUNC((D65*D66),2)</f>
        <v>15.7</v>
      </c>
      <c r="E67" s="1">
        <f>+TRUNC((E65*E66),0)</f>
        <v>208</v>
      </c>
      <c r="F67" s="11">
        <f>+ROUNDUP((F65*F66),2)</f>
        <v>42.089999999999996</v>
      </c>
      <c r="G67" s="11">
        <f>+ROUNDUP((G65*G66),2)</f>
        <v>15.35</v>
      </c>
      <c r="H67" s="11">
        <f>+TRUNC((H65*H66),2)</f>
        <v>39.21</v>
      </c>
      <c r="I67" s="1">
        <f>+TRUNC((I65*I66),0)</f>
        <v>520</v>
      </c>
      <c r="J67" s="11">
        <f>+TRUNC((J65*J66),2)</f>
        <v>56.99</v>
      </c>
      <c r="K67" s="11">
        <f>+ROUNDUP((K65*K66),2)</f>
        <v>216.79</v>
      </c>
    </row>
    <row r="68" spans="1:13" ht="12.75">
      <c r="A68" s="1"/>
      <c r="B68" s="8">
        <f>TRUNC(25.4347*(18-B67)^1.81)</f>
        <v>968</v>
      </c>
      <c r="C68" s="8">
        <f>TRUNC(0.14354*(C67-220)^1.4)</f>
        <v>821</v>
      </c>
      <c r="D68" s="23">
        <f>TRUNC(51.39*(D67-1.5)^1.05)</f>
        <v>833</v>
      </c>
      <c r="E68" s="8">
        <f>TRUNC(0.8465*(E67-75)^1.42)</f>
        <v>878</v>
      </c>
      <c r="F68" s="8">
        <f>TRUNC(1.53775*(82-F67)^1.81)</f>
        <v>1215</v>
      </c>
      <c r="G68" s="8">
        <f>TRUNC(5.74352*(28.5-G67)^1.92)</f>
        <v>808</v>
      </c>
      <c r="H68" s="8">
        <f>TRUNC(12.91*(H67-4)^1.1)</f>
        <v>649</v>
      </c>
      <c r="I68" s="8">
        <f>TRUNC(0.2797*(I67-100)^1.35)</f>
        <v>972</v>
      </c>
      <c r="J68" s="8">
        <f>TRUNC(10.14*(J67-7)^1.08)</f>
        <v>693</v>
      </c>
      <c r="K68" s="8">
        <f>TRUNC(0.03768*(480-K67)^1.85)</f>
        <v>1131</v>
      </c>
      <c r="L68" s="15">
        <f>SUM(B68:K68)</f>
        <v>8968</v>
      </c>
      <c r="M68" s="15"/>
    </row>
    <row r="69" spans="3:9" ht="12.75">
      <c r="C69" s="2"/>
      <c r="D69" s="21"/>
      <c r="E69" s="2"/>
      <c r="G69" s="16"/>
      <c r="I69" s="2"/>
    </row>
    <row r="70" spans="1:23" ht="12.75">
      <c r="A70" s="10">
        <v>95</v>
      </c>
      <c r="B70" s="7">
        <v>18.36</v>
      </c>
      <c r="C70" s="8">
        <v>281</v>
      </c>
      <c r="D70" s="25">
        <v>8.04</v>
      </c>
      <c r="E70" s="8">
        <v>101</v>
      </c>
      <c r="F70" s="7">
        <v>93.83</v>
      </c>
      <c r="G70" s="7">
        <v>20.47</v>
      </c>
      <c r="H70" s="7">
        <v>16.07</v>
      </c>
      <c r="I70" s="8">
        <v>190</v>
      </c>
      <c r="J70" s="7">
        <v>19.56</v>
      </c>
      <c r="K70" s="7">
        <f>8*60+49.39</f>
        <v>529.39</v>
      </c>
      <c r="N70" s="7"/>
      <c r="O70" s="8"/>
      <c r="P70" s="25"/>
      <c r="Q70" s="8"/>
      <c r="R70" s="7"/>
      <c r="S70" s="7"/>
      <c r="T70" s="7"/>
      <c r="U70" s="8"/>
      <c r="V70" s="7"/>
      <c r="W70" s="7"/>
    </row>
    <row r="71" spans="1:11" ht="12.75">
      <c r="A71" s="2"/>
      <c r="B71" s="2">
        <v>0.485</v>
      </c>
      <c r="C71" s="2">
        <v>2.876</v>
      </c>
      <c r="D71" s="58">
        <v>2.4044</v>
      </c>
      <c r="E71" s="2">
        <v>2.2925</v>
      </c>
      <c r="F71" s="2">
        <v>0.3114</v>
      </c>
      <c r="G71" s="57">
        <v>0.6129</v>
      </c>
      <c r="H71" s="2">
        <v>3.3478</v>
      </c>
      <c r="I71" s="2">
        <v>3.2362</v>
      </c>
      <c r="J71" s="2">
        <v>3.6206</v>
      </c>
      <c r="K71" s="2">
        <v>0.2759</v>
      </c>
    </row>
    <row r="72" spans="1:11" ht="12.75">
      <c r="A72" s="2"/>
      <c r="B72" s="11">
        <f>+ROUNDUP((B70*B71),2)</f>
        <v>8.91</v>
      </c>
      <c r="C72" s="1">
        <f>+TRUNC((C70*C71),0)</f>
        <v>808</v>
      </c>
      <c r="D72" s="22">
        <f>+TRUNC((D70*D71),2)</f>
        <v>19.33</v>
      </c>
      <c r="E72" s="1">
        <f>+TRUNC((E70*E71),0)</f>
        <v>231</v>
      </c>
      <c r="F72" s="11">
        <f>+ROUNDUP((F70*F71),2)</f>
        <v>29.220000000000002</v>
      </c>
      <c r="G72" s="11">
        <f>+ROUNDUP((G70*G71),2)</f>
        <v>12.549999999999999</v>
      </c>
      <c r="H72" s="11">
        <f>+TRUNC((H70*H71),2)</f>
        <v>53.79</v>
      </c>
      <c r="I72" s="1">
        <f>+TRUNC((I70*I71),0)</f>
        <v>614</v>
      </c>
      <c r="J72" s="11">
        <f>+TRUNC((J70*J71),2)</f>
        <v>70.81</v>
      </c>
      <c r="K72" s="11">
        <f>+ROUNDUP((K70*K71),2)</f>
        <v>146.06</v>
      </c>
    </row>
    <row r="73" spans="1:13" ht="12.75">
      <c r="A73" s="1"/>
      <c r="B73" s="8">
        <f>TRUNC(25.4347*(18-B72)^1.81)</f>
        <v>1381</v>
      </c>
      <c r="C73" s="8">
        <f>TRUNC(0.14354*(C72-220)^1.4)</f>
        <v>1081</v>
      </c>
      <c r="D73" s="23">
        <f>TRUNC(51.39*(D72-1.5)^1.05)</f>
        <v>1058</v>
      </c>
      <c r="E73" s="8">
        <f>TRUNC(0.8465*(E72-75)^1.42)</f>
        <v>1101</v>
      </c>
      <c r="F73" s="8">
        <f>TRUNC(1.53775*(82-F72)^1.81)</f>
        <v>2016</v>
      </c>
      <c r="G73" s="8">
        <f>TRUNC(5.74352*(28.5-G72)^1.92)</f>
        <v>1170</v>
      </c>
      <c r="H73" s="8">
        <f>TRUNC(12.91*(H72-4)^1.1)</f>
        <v>950</v>
      </c>
      <c r="I73" s="8">
        <f>TRUNC(0.2797*(I72-100)^1.35)</f>
        <v>1277</v>
      </c>
      <c r="J73" s="8">
        <f>TRUNC(10.14*(J72-7)^1.08)</f>
        <v>902</v>
      </c>
      <c r="K73" s="8">
        <f>TRUNC(0.03768*(480-K72)^1.85)</f>
        <v>1757</v>
      </c>
      <c r="L73" s="15">
        <f>SUM(B73:K73)</f>
        <v>12693</v>
      </c>
      <c r="M73" s="15"/>
    </row>
    <row r="74" spans="3:9" ht="12.75">
      <c r="C74" s="2"/>
      <c r="D74" s="21"/>
      <c r="E74" s="2"/>
      <c r="G74" s="4"/>
      <c r="I74" s="2"/>
    </row>
    <row r="75" spans="1:23" ht="12.75">
      <c r="A75" s="10" t="s">
        <v>9</v>
      </c>
      <c r="B75" s="7">
        <v>18.36</v>
      </c>
      <c r="C75" s="8">
        <v>281</v>
      </c>
      <c r="D75" s="25">
        <v>7.61</v>
      </c>
      <c r="E75" s="8">
        <v>101</v>
      </c>
      <c r="F75" s="7">
        <v>93.83</v>
      </c>
      <c r="G75" s="7">
        <v>20.47</v>
      </c>
      <c r="H75" s="7">
        <v>15.31</v>
      </c>
      <c r="I75" s="8">
        <v>190</v>
      </c>
      <c r="J75" s="7">
        <v>19.56</v>
      </c>
      <c r="K75" s="7">
        <f>8*60+49.39</f>
        <v>529.39</v>
      </c>
      <c r="N75" s="7"/>
      <c r="O75" s="8"/>
      <c r="P75" s="25"/>
      <c r="Q75" s="8"/>
      <c r="R75" s="7"/>
      <c r="S75" s="7"/>
      <c r="T75" s="7"/>
      <c r="U75" s="8"/>
      <c r="V75" s="7"/>
      <c r="W75" s="7"/>
    </row>
    <row r="76" spans="1:11" ht="12.75">
      <c r="A76" s="2"/>
      <c r="B76" s="57">
        <v>0.2735</v>
      </c>
      <c r="C76" s="57">
        <v>6.4392</v>
      </c>
      <c r="D76" s="57">
        <v>3.512</v>
      </c>
      <c r="E76" s="57">
        <v>3.5</v>
      </c>
      <c r="F76" s="57">
        <v>0.2469</v>
      </c>
      <c r="G76" s="57">
        <v>0.2981</v>
      </c>
      <c r="H76" s="2">
        <v>5.6116</v>
      </c>
      <c r="I76" s="57">
        <v>4.8547</v>
      </c>
      <c r="J76" s="57">
        <v>8.7034</v>
      </c>
      <c r="K76" s="57">
        <v>0.1908</v>
      </c>
    </row>
    <row r="77" spans="1:11" ht="12.75">
      <c r="A77" s="2"/>
      <c r="B77" s="11">
        <f>+ROUNDUP((B75*B76),2)</f>
        <v>5.029999999999999</v>
      </c>
      <c r="C77" s="1">
        <f>+TRUNC((C75*C76),0)</f>
        <v>1809</v>
      </c>
      <c r="D77" s="11">
        <f>+TRUNC((D75*D76),2)</f>
        <v>26.72</v>
      </c>
      <c r="E77" s="1">
        <f>+TRUNC((E75*E76),0)</f>
        <v>353</v>
      </c>
      <c r="F77" s="11">
        <f>+ROUNDUP((F75*F76),2)</f>
        <v>23.17</v>
      </c>
      <c r="G77" s="11">
        <f>+ROUNDUP((G75*G76),2)</f>
        <v>6.109999999999999</v>
      </c>
      <c r="H77" s="11">
        <f>+TRUNC((H75*H76),2)</f>
        <v>85.91</v>
      </c>
      <c r="I77" s="1">
        <f>+TRUNC((I75*I76),0)</f>
        <v>922</v>
      </c>
      <c r="J77" s="11">
        <f>+TRUNC((J75*J76),2)</f>
        <v>170.23</v>
      </c>
      <c r="K77" s="11">
        <f>+ROUNDUP((K75*K76),2)</f>
        <v>101.01</v>
      </c>
    </row>
    <row r="78" spans="1:13" ht="12.75">
      <c r="A78" s="1"/>
      <c r="B78" s="8">
        <f>TRUNC(25.4347*(18-B77)^1.81)</f>
        <v>2629</v>
      </c>
      <c r="C78" s="8">
        <f>TRUNC(0.14354*(C77-220)^1.4)</f>
        <v>4350</v>
      </c>
      <c r="D78" s="8">
        <f>TRUNC(51.39*(D77-1.5)^1.05)</f>
        <v>1523</v>
      </c>
      <c r="E78" s="8">
        <f>TRUNC(0.8465*(E77-75)^1.42)</f>
        <v>2501</v>
      </c>
      <c r="F78" s="8">
        <f>TRUNC(1.53775*(82-F77)^1.81)</f>
        <v>2453</v>
      </c>
      <c r="G78" s="8">
        <f>TRUNC(5.74352*(28.5-G77)^1.92)</f>
        <v>2245</v>
      </c>
      <c r="H78" s="8">
        <f>TRUNC(12.91*(H77-4)^1.1)</f>
        <v>1642</v>
      </c>
      <c r="I78" s="8">
        <f>TRUNC(0.2797*(I77-100)^1.35)</f>
        <v>2408</v>
      </c>
      <c r="J78" s="8">
        <f>TRUNC(10.14*(J77-7)^1.08)</f>
        <v>2488</v>
      </c>
      <c r="K78" s="8">
        <f>TRUNC(0.03768*(480-K77)^1.85)</f>
        <v>2221</v>
      </c>
      <c r="L78" s="15">
        <f>SUM(B78:K78)</f>
        <v>24460</v>
      </c>
      <c r="M78" s="15"/>
    </row>
    <row r="79" spans="3:9" ht="12.75">
      <c r="C79" s="2"/>
      <c r="G79" s="4"/>
      <c r="I79" s="2"/>
    </row>
    <row r="80" spans="3:9" ht="12.75">
      <c r="C80" s="2"/>
      <c r="I80" s="2"/>
    </row>
    <row r="81" spans="3:9" ht="12.75">
      <c r="C81" s="2"/>
      <c r="I81" s="2"/>
    </row>
    <row r="82" spans="3:9" ht="12.75">
      <c r="C82" s="2"/>
      <c r="I82" s="2"/>
    </row>
    <row r="83" spans="3:9" ht="12.75">
      <c r="C83" s="2"/>
      <c r="I83" s="2"/>
    </row>
    <row r="84" spans="3:9" ht="12.75">
      <c r="C84" s="2"/>
      <c r="I84" s="2"/>
    </row>
    <row r="85" spans="3:9" ht="12.75">
      <c r="C85" s="2"/>
      <c r="I85" s="2"/>
    </row>
    <row r="86" spans="3:9" ht="12.75">
      <c r="C86" s="2"/>
      <c r="I86" s="2"/>
    </row>
    <row r="87" spans="3:9" ht="12.75">
      <c r="C87" s="2"/>
      <c r="I87" s="2"/>
    </row>
    <row r="88" ht="12.75">
      <c r="C88" s="2"/>
    </row>
    <row r="89" spans="2:11" ht="12.75">
      <c r="B89" s="15"/>
      <c r="C89" s="2"/>
      <c r="D89" s="15"/>
      <c r="E89" s="15"/>
      <c r="F89" s="15"/>
      <c r="G89" s="15"/>
      <c r="H89" s="15"/>
      <c r="I89" s="15"/>
      <c r="J89" s="15"/>
      <c r="K89" s="15"/>
    </row>
    <row r="90" spans="2:11" ht="12.75">
      <c r="B90" s="15"/>
      <c r="D90" s="15"/>
      <c r="E90" s="15"/>
      <c r="F90" s="15"/>
      <c r="G90" s="15"/>
      <c r="H90" s="15"/>
      <c r="I90" s="15"/>
      <c r="J90" s="15"/>
      <c r="K90" s="15"/>
    </row>
    <row r="92" spans="2:11" ht="12.75">
      <c r="B92" s="7"/>
      <c r="D92" s="7"/>
      <c r="E92" s="8"/>
      <c r="F92" s="7"/>
      <c r="G92" s="7"/>
      <c r="H92" s="7"/>
      <c r="I92" s="8"/>
      <c r="J92" s="7"/>
      <c r="K92" s="7"/>
    </row>
    <row r="93" spans="2:11" ht="12.75">
      <c r="B93" s="2"/>
      <c r="D93" s="2"/>
      <c r="E93" s="2"/>
      <c r="F93" s="2"/>
      <c r="G93" s="2"/>
      <c r="H93" s="2"/>
      <c r="I93" s="2"/>
      <c r="J93" s="2"/>
      <c r="K93" s="2"/>
    </row>
    <row r="94" spans="2:11" ht="12.75">
      <c r="B94" s="11"/>
      <c r="D94" s="11"/>
      <c r="E94" s="1"/>
      <c r="F94" s="11"/>
      <c r="G94" s="11"/>
      <c r="H94" s="11"/>
      <c r="I94" s="1"/>
      <c r="J94" s="11"/>
      <c r="K94" s="11"/>
    </row>
    <row r="95" spans="2:12" ht="12.75">
      <c r="B95" s="8"/>
      <c r="D95" s="8"/>
      <c r="E95" s="8"/>
      <c r="F95" s="8"/>
      <c r="G95" s="8"/>
      <c r="H95" s="8"/>
      <c r="I95" s="8"/>
      <c r="J95" s="8"/>
      <c r="K95" s="8"/>
      <c r="L95" s="1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pane ySplit="1365" topLeftCell="A1" activePane="bottomLeft" state="split"/>
      <selection pane="topLeft" activeCell="A1" sqref="A1"/>
      <selection pane="bottomLeft" activeCell="A3" sqref="A3"/>
    </sheetView>
  </sheetViews>
  <sheetFormatPr defaultColWidth="9.140625" defaultRowHeight="12.75"/>
  <cols>
    <col min="2" max="2" width="11.7109375" style="0" customWidth="1"/>
    <col min="3" max="3" width="12.28125" style="0" customWidth="1"/>
    <col min="4" max="4" width="12.00390625" style="0" customWidth="1"/>
    <col min="5" max="5" width="12.7109375" style="0" customWidth="1"/>
    <col min="6" max="6" width="13.57421875" style="0" customWidth="1"/>
    <col min="7" max="7" width="12.00390625" style="0" customWidth="1"/>
    <col min="8" max="8" width="12.140625" style="0" customWidth="1"/>
  </cols>
  <sheetData>
    <row r="1" ht="15.75">
      <c r="A1" s="17" t="s">
        <v>118</v>
      </c>
    </row>
    <row r="3" spans="2:6" ht="12.75">
      <c r="B3" s="27" t="s">
        <v>4</v>
      </c>
      <c r="C3" s="27" t="s">
        <v>5</v>
      </c>
      <c r="D3" s="27" t="s">
        <v>3</v>
      </c>
      <c r="E3" s="27" t="s">
        <v>14</v>
      </c>
      <c r="F3" s="27" t="s">
        <v>17</v>
      </c>
    </row>
    <row r="4" ht="12.75">
      <c r="B4" s="2"/>
    </row>
    <row r="5" spans="1:6" ht="12.75">
      <c r="A5" s="10">
        <v>30</v>
      </c>
      <c r="B5" s="8">
        <v>685</v>
      </c>
      <c r="C5" s="7">
        <v>52.97</v>
      </c>
      <c r="D5" s="7">
        <v>23.14</v>
      </c>
      <c r="E5" s="7">
        <v>41.36</v>
      </c>
      <c r="F5" s="7">
        <f>5*60+23.11</f>
        <v>323.11</v>
      </c>
    </row>
    <row r="6" spans="1:6" ht="12.75">
      <c r="A6" s="2"/>
      <c r="B6" s="2">
        <v>1</v>
      </c>
      <c r="C6" s="2">
        <v>1</v>
      </c>
      <c r="D6" s="2">
        <v>1</v>
      </c>
      <c r="E6" s="2">
        <v>1</v>
      </c>
      <c r="F6" s="2">
        <v>1</v>
      </c>
    </row>
    <row r="7" spans="1:6" ht="12.75">
      <c r="A7" s="2"/>
      <c r="B7" s="1">
        <f>+TRUNC((B5*B6),0)</f>
        <v>685</v>
      </c>
      <c r="C7" s="11">
        <f>+TRUNC((C5*C6),2)</f>
        <v>52.97</v>
      </c>
      <c r="D7" s="11">
        <f>+ROUNDUP((D5*D6),2)</f>
        <v>23.14</v>
      </c>
      <c r="E7" s="11">
        <f>+TRUNC((E5*E6),2)</f>
        <v>41.36</v>
      </c>
      <c r="F7" s="11">
        <f>+ROUNDUP((F5*F6),2)</f>
        <v>323.11</v>
      </c>
    </row>
    <row r="8" spans="1:8" ht="12.75">
      <c r="A8" s="1"/>
      <c r="B8" s="8">
        <f>TRUNC(0.14354*(B7-220)^1.4)</f>
        <v>778</v>
      </c>
      <c r="C8" s="8">
        <f>TRUNC(10.14*(C7-7)^1.08)</f>
        <v>633</v>
      </c>
      <c r="D8" s="8">
        <f>TRUNC(5.8425*(38-D7)^1.81)</f>
        <v>772</v>
      </c>
      <c r="E8" s="8">
        <f>TRUNC(12.91*(E7-4)^1.1)</f>
        <v>692</v>
      </c>
      <c r="F8" s="8">
        <f>TRUNC(0.03768*(480-F7)^1.85)</f>
        <v>434</v>
      </c>
      <c r="G8" s="15">
        <f>B8+C8+D8+E8+F8</f>
        <v>3309</v>
      </c>
      <c r="H8" t="s">
        <v>90</v>
      </c>
    </row>
    <row r="9" ht="12.75">
      <c r="B9" s="2"/>
    </row>
    <row r="10" spans="1:13" ht="12.75">
      <c r="A10" s="10">
        <v>35</v>
      </c>
      <c r="B10" s="8">
        <v>635</v>
      </c>
      <c r="C10" s="7">
        <v>50.83</v>
      </c>
      <c r="D10" s="7">
        <v>24.9</v>
      </c>
      <c r="E10" s="7">
        <v>39.11</v>
      </c>
      <c r="F10" s="7">
        <f>5*60+15.75</f>
        <v>315.75</v>
      </c>
      <c r="I10" s="8"/>
      <c r="J10" s="7"/>
      <c r="K10" s="7"/>
      <c r="L10" s="7"/>
      <c r="M10" s="7"/>
    </row>
    <row r="11" spans="1:6" ht="12.75">
      <c r="A11" s="2"/>
      <c r="B11" s="2">
        <v>1.0317</v>
      </c>
      <c r="C11" s="2">
        <v>1.0126</v>
      </c>
      <c r="D11" s="2">
        <v>0.9837</v>
      </c>
      <c r="E11" s="2">
        <v>1.0143</v>
      </c>
      <c r="F11" s="2">
        <v>0.9913</v>
      </c>
    </row>
    <row r="12" spans="1:8" ht="12.75">
      <c r="A12" s="2"/>
      <c r="B12" s="1">
        <f>+TRUNC((B10*B11),0)</f>
        <v>655</v>
      </c>
      <c r="C12" s="11">
        <f>+TRUNC((C10*C11),2)</f>
        <v>51.47</v>
      </c>
      <c r="D12" s="11">
        <f>+ROUNDUP((D10*D11),2)</f>
        <v>24.5</v>
      </c>
      <c r="E12" s="11">
        <f>+TRUNC((E10*E11),2)</f>
        <v>39.66</v>
      </c>
      <c r="F12" s="11">
        <f>+ROUNDUP((F10*F11),2)</f>
        <v>313.01</v>
      </c>
      <c r="G12" s="2">
        <v>3113</v>
      </c>
      <c r="H12" s="63" t="s">
        <v>58</v>
      </c>
    </row>
    <row r="13" spans="1:8" ht="12.75">
      <c r="A13" s="1"/>
      <c r="B13" s="8">
        <f>TRUNC(0.14354*(B12-220)^1.4)</f>
        <v>709</v>
      </c>
      <c r="C13" s="8">
        <f>TRUNC(10.14*(C12-7)^1.08)</f>
        <v>610</v>
      </c>
      <c r="D13" s="8">
        <f>TRUNC(5.8425*(38-D12)^1.81)</f>
        <v>649</v>
      </c>
      <c r="E13" s="8">
        <f>TRUNC(12.91*(E12-4)^1.1)</f>
        <v>658</v>
      </c>
      <c r="F13" s="8">
        <f>TRUNC(0.03768*(480-F12)^1.85)</f>
        <v>487</v>
      </c>
      <c r="G13" s="15">
        <f>B13+C13+D13+E13+F13</f>
        <v>3113</v>
      </c>
      <c r="H13" s="42" t="s">
        <v>119</v>
      </c>
    </row>
    <row r="14" spans="2:6" ht="12.75">
      <c r="B14" s="5"/>
      <c r="C14" s="5"/>
      <c r="D14" s="5"/>
      <c r="E14" s="5"/>
      <c r="F14" s="5"/>
    </row>
    <row r="15" spans="1:6" ht="12.75">
      <c r="A15" s="10">
        <v>40</v>
      </c>
      <c r="B15" s="8">
        <v>577</v>
      </c>
      <c r="C15" s="7">
        <v>48.91</v>
      </c>
      <c r="D15" s="7">
        <v>23.2</v>
      </c>
      <c r="E15" s="7">
        <v>31.59</v>
      </c>
      <c r="F15" s="7">
        <f>4*60+43.5</f>
        <v>283.5</v>
      </c>
    </row>
    <row r="16" spans="1:6" ht="12.75">
      <c r="A16" s="2"/>
      <c r="B16" s="2">
        <v>1.0899</v>
      </c>
      <c r="C16" s="2">
        <v>1.0862</v>
      </c>
      <c r="D16" s="2">
        <v>0.9536</v>
      </c>
      <c r="E16" s="2">
        <v>1.1014</v>
      </c>
      <c r="F16" s="2">
        <v>0.9519</v>
      </c>
    </row>
    <row r="17" spans="1:6" ht="12.75">
      <c r="A17" s="2"/>
      <c r="B17" s="1">
        <f>+TRUNC((B15*B16),0)</f>
        <v>628</v>
      </c>
      <c r="C17" s="11">
        <f>+TRUNC((C15*C16),2)</f>
        <v>53.12</v>
      </c>
      <c r="D17" s="11">
        <f>+ROUNDUP((D15*D16),2)</f>
        <v>22.130000000000003</v>
      </c>
      <c r="E17" s="11">
        <f>+TRUNC((E15*E16),2)</f>
        <v>34.79</v>
      </c>
      <c r="F17" s="11">
        <f>+ROUNDUP((F15*F16),2)</f>
        <v>269.87</v>
      </c>
    </row>
    <row r="18" spans="1:8" ht="12.75">
      <c r="A18" s="8"/>
      <c r="B18" s="8">
        <f>TRUNC(0.14354*(B17-220)^1.4)</f>
        <v>648</v>
      </c>
      <c r="C18" s="8">
        <f>TRUNC(10.14*(C17-7)^1.08)</f>
        <v>635</v>
      </c>
      <c r="D18" s="8">
        <f>TRUNC(5.8425*(38-D17)^1.81)</f>
        <v>870</v>
      </c>
      <c r="E18" s="8">
        <f>TRUNC(12.91*(E17-4)^1.1)</f>
        <v>559</v>
      </c>
      <c r="F18" s="8">
        <f>TRUNC(0.03768*(480-F17)^1.85)</f>
        <v>745</v>
      </c>
      <c r="G18" s="15">
        <f>B18+C18+D18+E18+F18</f>
        <v>3457</v>
      </c>
      <c r="H18" t="s">
        <v>58</v>
      </c>
    </row>
    <row r="19" spans="1:6" ht="12.75">
      <c r="A19" s="6"/>
      <c r="B19" s="5"/>
      <c r="C19" s="5"/>
      <c r="D19" s="5"/>
      <c r="E19" s="5"/>
      <c r="F19" s="5"/>
    </row>
    <row r="20" spans="1:6" ht="12.75">
      <c r="A20" s="10">
        <v>45</v>
      </c>
      <c r="B20" s="8">
        <v>572</v>
      </c>
      <c r="C20" s="7">
        <v>48.91</v>
      </c>
      <c r="D20" s="7">
        <v>24.02</v>
      </c>
      <c r="E20" s="7">
        <v>32.25</v>
      </c>
      <c r="F20" s="7">
        <f>5*60+6.42</f>
        <v>306.42</v>
      </c>
    </row>
    <row r="21" spans="1:6" ht="12.75">
      <c r="A21" s="2"/>
      <c r="B21" s="2">
        <v>1.1551</v>
      </c>
      <c r="C21" s="2">
        <v>1.1716</v>
      </c>
      <c r="D21" s="2">
        <v>0.9235</v>
      </c>
      <c r="E21" s="2">
        <v>1.2049</v>
      </c>
      <c r="F21" s="2">
        <v>0.9125</v>
      </c>
    </row>
    <row r="22" spans="1:6" ht="12.75">
      <c r="A22" s="2"/>
      <c r="B22" s="1">
        <f>+TRUNC((B20*B21),0)</f>
        <v>660</v>
      </c>
      <c r="C22" s="11">
        <f>+TRUNC((C20*C21),2)</f>
        <v>57.3</v>
      </c>
      <c r="D22" s="11">
        <f>+ROUNDUP((D20*D21),2)</f>
        <v>22.19</v>
      </c>
      <c r="E22" s="11">
        <f>+TRUNC((E20*E21),2)</f>
        <v>38.85</v>
      </c>
      <c r="F22" s="11">
        <f>+ROUNDUP((F20*F21),2)</f>
        <v>279.61</v>
      </c>
    </row>
    <row r="23" spans="1:8" ht="12.75">
      <c r="A23" s="1"/>
      <c r="B23" s="8">
        <f>TRUNC(0.14354*(B22-220)^1.4)</f>
        <v>720</v>
      </c>
      <c r="C23" s="8">
        <f>TRUNC(10.14*(C22-7)^1.08)</f>
        <v>697</v>
      </c>
      <c r="D23" s="8">
        <f>TRUNC(5.8425*(38-D22)^1.81)</f>
        <v>864</v>
      </c>
      <c r="E23" s="8">
        <f>TRUNC(12.91*(E22-4)^1.1)</f>
        <v>641</v>
      </c>
      <c r="F23" s="8">
        <f>TRUNC(0.03768*(480-F22)^1.85)</f>
        <v>683</v>
      </c>
      <c r="G23" s="15">
        <f>B23+C23+D23+E23+F23</f>
        <v>3605</v>
      </c>
      <c r="H23" t="s">
        <v>58</v>
      </c>
    </row>
    <row r="24" spans="2:6" ht="12.75">
      <c r="B24" s="3"/>
      <c r="C24" s="3"/>
      <c r="D24" s="3"/>
      <c r="E24" s="3"/>
      <c r="F24" s="3"/>
    </row>
    <row r="25" spans="1:6" ht="12.75">
      <c r="A25" s="10">
        <v>50</v>
      </c>
      <c r="B25" s="8">
        <v>487</v>
      </c>
      <c r="C25" s="7">
        <v>44.86</v>
      </c>
      <c r="D25" s="7">
        <v>27.01</v>
      </c>
      <c r="E25" s="7">
        <v>34.43</v>
      </c>
      <c r="F25" s="7">
        <f>5*60+20.99</f>
        <v>320.99</v>
      </c>
    </row>
    <row r="26" spans="1:6" ht="12.75">
      <c r="A26" s="2"/>
      <c r="B26" s="2">
        <v>1.2286</v>
      </c>
      <c r="C26" s="2">
        <v>1.2278</v>
      </c>
      <c r="D26" s="2">
        <v>0.8934</v>
      </c>
      <c r="E26" s="2">
        <v>1.0218</v>
      </c>
      <c r="F26" s="2">
        <v>0.8731</v>
      </c>
    </row>
    <row r="27" spans="1:6" ht="12.75">
      <c r="A27" s="2"/>
      <c r="B27" s="1">
        <f>+TRUNC((B25*B26),0)</f>
        <v>598</v>
      </c>
      <c r="C27" s="11">
        <f>+TRUNC((C25*C26),2)</f>
        <v>55.07</v>
      </c>
      <c r="D27" s="11">
        <f>+ROUNDUP((D25*D26),2)</f>
        <v>24.14</v>
      </c>
      <c r="E27" s="11">
        <f>+TRUNC((E25*E26),2)</f>
        <v>35.18</v>
      </c>
      <c r="F27" s="11">
        <f>+ROUNDUP((F25*F26),2)</f>
        <v>280.26</v>
      </c>
    </row>
    <row r="28" spans="1:8" ht="12.75">
      <c r="A28" s="1"/>
      <c r="B28" s="8">
        <f>TRUNC(0.14354*(B27-220)^1.4)</f>
        <v>582</v>
      </c>
      <c r="C28" s="8">
        <f>TRUNC(10.14*(C27-7)^1.08)</f>
        <v>664</v>
      </c>
      <c r="D28" s="8">
        <f>TRUNC(5.8425*(38-D27)^1.81)</f>
        <v>681</v>
      </c>
      <c r="E28" s="8">
        <f>TRUNC(12.91*(E27-4)^1.1)</f>
        <v>567</v>
      </c>
      <c r="F28" s="8">
        <f>TRUNC(0.03768*(480-F27)^1.85)</f>
        <v>679</v>
      </c>
      <c r="G28" s="15">
        <f>B28+C28+D28+E28+F28</f>
        <v>3173</v>
      </c>
      <c r="H28" t="s">
        <v>59</v>
      </c>
    </row>
    <row r="29" spans="2:6" ht="12.75">
      <c r="B29" s="3"/>
      <c r="C29" s="3"/>
      <c r="D29" s="3"/>
      <c r="E29" s="3"/>
      <c r="F29" s="3"/>
    </row>
    <row r="30" spans="1:13" ht="12.75">
      <c r="A30" s="10">
        <v>55</v>
      </c>
      <c r="B30" s="8">
        <v>556</v>
      </c>
      <c r="C30" s="7">
        <v>38.42</v>
      </c>
      <c r="D30" s="7">
        <v>25.71</v>
      </c>
      <c r="E30" s="7">
        <v>36.72</v>
      </c>
      <c r="F30" s="7">
        <f>6*60+42.12</f>
        <v>402.12</v>
      </c>
      <c r="I30" s="8"/>
      <c r="J30" s="7"/>
      <c r="K30" s="7"/>
      <c r="L30" s="7"/>
      <c r="M30" s="7"/>
    </row>
    <row r="31" spans="1:6" ht="12.75">
      <c r="A31" s="2"/>
      <c r="B31" s="2">
        <v>1.3121</v>
      </c>
      <c r="C31" s="2">
        <v>1.338</v>
      </c>
      <c r="D31" s="2">
        <v>0.8633</v>
      </c>
      <c r="E31" s="2">
        <v>1.1103</v>
      </c>
      <c r="F31" s="2">
        <v>0.8337</v>
      </c>
    </row>
    <row r="32" spans="1:6" ht="12.75">
      <c r="A32" s="2"/>
      <c r="B32" s="1">
        <f>+TRUNC((B30*B31),0)</f>
        <v>729</v>
      </c>
      <c r="C32" s="11">
        <f>+TRUNC((C30*C31),2)</f>
        <v>51.4</v>
      </c>
      <c r="D32" s="11">
        <f>+ROUNDUP((D30*D31),2)</f>
        <v>22.200000000000003</v>
      </c>
      <c r="E32" s="11">
        <f>+TRUNC((E30*E31),2)</f>
        <v>40.77</v>
      </c>
      <c r="F32" s="11">
        <f>+ROUNDUP((F30*F31),2)</f>
        <v>335.25</v>
      </c>
    </row>
    <row r="33" spans="1:8" ht="12.75">
      <c r="A33" s="1"/>
      <c r="B33" s="8">
        <f>TRUNC(0.14354*(B32-220)^1.4)</f>
        <v>883</v>
      </c>
      <c r="C33" s="8">
        <f>TRUNC(10.14*(C32-7)^1.08)</f>
        <v>609</v>
      </c>
      <c r="D33" s="8">
        <f>TRUNC(5.8425*(38-D32)^1.81)</f>
        <v>863</v>
      </c>
      <c r="E33" s="8">
        <f>TRUNC(12.91*(E32-4)^1.1)</f>
        <v>680</v>
      </c>
      <c r="F33" s="8">
        <f>TRUNC(0.03768*(480-F32)^1.85)</f>
        <v>374</v>
      </c>
      <c r="G33" s="15">
        <f>B33+C33+D33+E33+F33</f>
        <v>3409</v>
      </c>
      <c r="H33" s="42" t="s">
        <v>94</v>
      </c>
    </row>
    <row r="34" spans="1:6" ht="12.75">
      <c r="A34" t="s">
        <v>0</v>
      </c>
      <c r="B34" s="2"/>
      <c r="C34" s="2"/>
      <c r="D34" s="2"/>
      <c r="E34" s="2"/>
      <c r="F34" s="2"/>
    </row>
    <row r="35" spans="1:6" ht="12.75">
      <c r="A35" s="10">
        <v>60</v>
      </c>
      <c r="B35" s="8">
        <v>488</v>
      </c>
      <c r="C35" s="7">
        <v>34</v>
      </c>
      <c r="D35" s="7">
        <v>28.46</v>
      </c>
      <c r="E35" s="7">
        <v>35.19</v>
      </c>
      <c r="F35" s="7">
        <f>5*60+31.63</f>
        <v>331.63</v>
      </c>
    </row>
    <row r="36" spans="1:6" ht="12.75">
      <c r="A36" s="2"/>
      <c r="B36" s="2">
        <v>1.4078</v>
      </c>
      <c r="C36" s="2">
        <v>1.414</v>
      </c>
      <c r="D36" s="2">
        <v>0.8332</v>
      </c>
      <c r="E36" s="2">
        <v>1.0628</v>
      </c>
      <c r="F36" s="2">
        <v>0.7939</v>
      </c>
    </row>
    <row r="37" spans="1:6" ht="12.75">
      <c r="A37" s="2"/>
      <c r="B37" s="1">
        <f>+TRUNC((B35*B36),0)</f>
        <v>687</v>
      </c>
      <c r="C37" s="11">
        <f>+TRUNC((C35*C36),2)</f>
        <v>48.07</v>
      </c>
      <c r="D37" s="11">
        <f>+ROUNDUP((D35*D36),2)</f>
        <v>23.720000000000002</v>
      </c>
      <c r="E37" s="11">
        <f>+TRUNC((E35*E36),2)</f>
        <v>37.39</v>
      </c>
      <c r="F37" s="11">
        <f>+ROUNDUP((F35*F36),2)</f>
        <v>263.28999999999996</v>
      </c>
    </row>
    <row r="38" spans="1:8" ht="12.75">
      <c r="A38" s="1"/>
      <c r="B38" s="8">
        <f>TRUNC(0.14354*(B37-220)^1.4)</f>
        <v>783</v>
      </c>
      <c r="C38" s="8">
        <f>TRUNC(10.14*(C37-7)^1.08)</f>
        <v>560</v>
      </c>
      <c r="D38" s="8">
        <f>TRUNC(5.8425*(38-D37)^1.81)</f>
        <v>718</v>
      </c>
      <c r="E38" s="8">
        <f>TRUNC(12.91*(E37-4)^1.1)</f>
        <v>612</v>
      </c>
      <c r="F38" s="8">
        <f>TRUNC(0.03768*(480-F37)^1.85)</f>
        <v>789</v>
      </c>
      <c r="G38" s="15">
        <f>B38+C38+D38+E38+F38</f>
        <v>3462</v>
      </c>
      <c r="H38" t="s">
        <v>60</v>
      </c>
    </row>
    <row r="39" spans="2:6" ht="12.75">
      <c r="B39" s="3"/>
      <c r="C39" s="3"/>
      <c r="D39" s="3"/>
      <c r="E39" s="3"/>
      <c r="F39" s="3"/>
    </row>
    <row r="40" spans="1:6" ht="12.75">
      <c r="A40" s="10">
        <v>65</v>
      </c>
      <c r="B40" s="8">
        <v>477</v>
      </c>
      <c r="C40" s="7">
        <v>38.21</v>
      </c>
      <c r="D40" s="7">
        <v>28.94</v>
      </c>
      <c r="E40" s="7">
        <v>39.51</v>
      </c>
      <c r="F40" s="7">
        <f>6*60+30.87</f>
        <v>390.87</v>
      </c>
    </row>
    <row r="41" spans="1:6" ht="12.75">
      <c r="A41" s="2"/>
      <c r="B41" s="2">
        <v>1.5186</v>
      </c>
      <c r="C41" s="2">
        <v>1.562</v>
      </c>
      <c r="D41" s="2">
        <v>0.8007</v>
      </c>
      <c r="E41" s="2">
        <v>1.1637</v>
      </c>
      <c r="F41" s="2">
        <v>0.7529</v>
      </c>
    </row>
    <row r="42" spans="1:6" ht="12.75">
      <c r="A42" s="2"/>
      <c r="B42" s="1">
        <f>+TRUNC((B40*B41),0)</f>
        <v>724</v>
      </c>
      <c r="C42" s="11">
        <f>+TRUNC((C40*C41),2)</f>
        <v>59.68</v>
      </c>
      <c r="D42" s="11">
        <f>+ROUNDUP((D40*D41),2)</f>
        <v>23.180000000000003</v>
      </c>
      <c r="E42" s="11">
        <f>+TRUNC((E40*E41),2)</f>
        <v>45.97</v>
      </c>
      <c r="F42" s="11">
        <f>+ROUNDUP((F40*F41),2)</f>
        <v>294.28999999999996</v>
      </c>
    </row>
    <row r="43" spans="1:8" ht="12.75">
      <c r="A43" s="1"/>
      <c r="B43" s="8">
        <f>TRUNC(0.14354*(B42-220)^1.4)</f>
        <v>871</v>
      </c>
      <c r="C43" s="8">
        <f>TRUNC(10.14*(C42-7)^1.08)</f>
        <v>733</v>
      </c>
      <c r="D43" s="8">
        <f>TRUNC(5.8425*(38-D42)^1.81)</f>
        <v>768</v>
      </c>
      <c r="E43" s="8">
        <f>TRUNC(12.91*(E42-4)^1.1)</f>
        <v>787</v>
      </c>
      <c r="F43" s="8">
        <f>TRUNC(0.03768*(480-F42)^1.85)</f>
        <v>593</v>
      </c>
      <c r="G43" s="15">
        <f>B43+C43+D43+E43+F43</f>
        <v>3752</v>
      </c>
      <c r="H43" t="s">
        <v>56</v>
      </c>
    </row>
    <row r="44" ht="12.75">
      <c r="B44" s="2"/>
    </row>
    <row r="45" spans="1:6" ht="12.75">
      <c r="A45" s="10">
        <v>70</v>
      </c>
      <c r="B45" s="8">
        <v>457</v>
      </c>
      <c r="C45" s="7">
        <v>39.11</v>
      </c>
      <c r="D45" s="7">
        <v>30.61</v>
      </c>
      <c r="E45" s="7">
        <v>36.36</v>
      </c>
      <c r="F45" s="7">
        <f>7*60+9.44</f>
        <v>429.44</v>
      </c>
    </row>
    <row r="46" spans="1:6" ht="12.75">
      <c r="A46" s="2"/>
      <c r="B46" s="2">
        <v>1.6482</v>
      </c>
      <c r="C46" s="2">
        <v>1.6801</v>
      </c>
      <c r="D46" s="2">
        <v>0.7642</v>
      </c>
      <c r="E46" s="2">
        <v>1.2781</v>
      </c>
      <c r="F46" s="2">
        <v>0.7079</v>
      </c>
    </row>
    <row r="47" spans="1:6" ht="12.75">
      <c r="A47" s="2"/>
      <c r="B47" s="1">
        <f>+TRUNC((B45*B46),0)</f>
        <v>753</v>
      </c>
      <c r="C47" s="11">
        <f>+TRUNC((C45*C46),2)</f>
        <v>65.7</v>
      </c>
      <c r="D47" s="11">
        <f>+ROUNDUP((D45*D46),2)</f>
        <v>23.400000000000002</v>
      </c>
      <c r="E47" s="11">
        <f>+TRUNC((E45*E46),2)</f>
        <v>46.47</v>
      </c>
      <c r="F47" s="11">
        <f>+ROUNDUP((F45*F46),2)</f>
        <v>304.01</v>
      </c>
    </row>
    <row r="48" spans="1:8" ht="12.75">
      <c r="A48" s="1"/>
      <c r="B48" s="8">
        <f>TRUNC(0.14354*(B47-220)^1.4)</f>
        <v>942</v>
      </c>
      <c r="C48" s="8">
        <f>TRUNC(10.14*(C47-7)^1.08)</f>
        <v>824</v>
      </c>
      <c r="D48" s="8">
        <f>TRUNC(5.8425*(38-D47)^1.81)</f>
        <v>748</v>
      </c>
      <c r="E48" s="8">
        <f>TRUNC(12.91*(E47-4)^1.1)</f>
        <v>797</v>
      </c>
      <c r="F48" s="8">
        <f>TRUNC(0.03768*(480-F47)^1.85)</f>
        <v>537</v>
      </c>
      <c r="G48" s="15">
        <f>B48+C48+D48+E48+F48</f>
        <v>3848</v>
      </c>
      <c r="H48" t="s">
        <v>56</v>
      </c>
    </row>
    <row r="49" ht="12.75">
      <c r="B49" s="2"/>
    </row>
    <row r="50" spans="1:6" ht="12.75">
      <c r="A50" s="10">
        <v>75</v>
      </c>
      <c r="B50" s="8">
        <v>377</v>
      </c>
      <c r="C50" s="7">
        <v>34.98</v>
      </c>
      <c r="D50" s="7">
        <v>33.45</v>
      </c>
      <c r="E50" s="7">
        <v>25.51</v>
      </c>
      <c r="F50" s="7">
        <f>6*60+47.15</f>
        <v>407.15</v>
      </c>
    </row>
    <row r="51" spans="1:6" ht="12.75">
      <c r="A51" s="2"/>
      <c r="B51" s="2">
        <v>1.8021</v>
      </c>
      <c r="C51" s="2">
        <v>1.8932</v>
      </c>
      <c r="D51" s="2">
        <v>0.7215</v>
      </c>
      <c r="E51" s="2">
        <v>1.4332</v>
      </c>
      <c r="F51" s="2">
        <v>0.6556</v>
      </c>
    </row>
    <row r="52" spans="1:6" ht="12.75">
      <c r="A52" s="2"/>
      <c r="B52" s="1">
        <f>+TRUNC((B50*B51),0)</f>
        <v>679</v>
      </c>
      <c r="C52" s="11">
        <f>+TRUNC((C50*C51),2)</f>
        <v>66.22</v>
      </c>
      <c r="D52" s="11">
        <f>+ROUNDUP((D50*D51),2)</f>
        <v>24.14</v>
      </c>
      <c r="E52" s="11">
        <f>+TRUNC((E50*E51),2)</f>
        <v>36.56</v>
      </c>
      <c r="F52" s="11">
        <f>+ROUNDUP((F50*F51),2)</f>
        <v>266.93</v>
      </c>
    </row>
    <row r="53" spans="1:8" ht="12.75">
      <c r="A53" s="1"/>
      <c r="B53" s="8">
        <f>TRUNC(0.14354*(B52-220)^1.4)</f>
        <v>764</v>
      </c>
      <c r="C53" s="8">
        <f>TRUNC(10.14*(C52-7)^1.08)</f>
        <v>832</v>
      </c>
      <c r="D53" s="8">
        <f>TRUNC(5.8425*(38-D52)^1.81)</f>
        <v>681</v>
      </c>
      <c r="E53" s="8">
        <f>TRUNC(12.91*(E52-4)^1.1)</f>
        <v>595</v>
      </c>
      <c r="F53" s="8">
        <f>TRUNC(0.03768*(480-F52)^1.85)</f>
        <v>765</v>
      </c>
      <c r="G53" s="15">
        <f>B53+C53+D53+E53+F53</f>
        <v>3637</v>
      </c>
      <c r="H53" t="s">
        <v>83</v>
      </c>
    </row>
    <row r="54" ht="12.75">
      <c r="B54" s="2"/>
    </row>
    <row r="55" spans="1:6" ht="12.75">
      <c r="A55" s="10">
        <v>80</v>
      </c>
      <c r="B55" s="8">
        <v>325</v>
      </c>
      <c r="C55" s="7">
        <v>23.95</v>
      </c>
      <c r="D55" s="7">
        <v>36.72</v>
      </c>
      <c r="E55" s="7">
        <v>21.48</v>
      </c>
      <c r="F55" s="7">
        <f>8*60+30.18</f>
        <v>510.18</v>
      </c>
    </row>
    <row r="56" spans="1:6" ht="12.75">
      <c r="A56" s="2"/>
      <c r="B56" s="2">
        <v>1.9876</v>
      </c>
      <c r="C56" s="2">
        <v>2.0952</v>
      </c>
      <c r="D56" s="2">
        <v>0.6697</v>
      </c>
      <c r="E56" s="2">
        <v>1.6441</v>
      </c>
      <c r="F56" s="2">
        <v>0.592</v>
      </c>
    </row>
    <row r="57" spans="1:6" ht="12.75">
      <c r="A57" s="2"/>
      <c r="B57" s="1">
        <f>+TRUNC((B55*B56),0)</f>
        <v>645</v>
      </c>
      <c r="C57" s="11">
        <f>+TRUNC((C55*C56),2)</f>
        <v>50.18</v>
      </c>
      <c r="D57" s="11">
        <f>+ROUNDUP((D55*D56),2)</f>
        <v>24.6</v>
      </c>
      <c r="E57" s="11">
        <f>+TRUNC((E55*E56),2)</f>
        <v>35.31</v>
      </c>
      <c r="F57" s="11">
        <f>+ROUNDUP((F55*F56),2)</f>
        <v>302.03</v>
      </c>
    </row>
    <row r="58" spans="1:8" ht="12.75">
      <c r="A58" s="1"/>
      <c r="B58" s="8">
        <f>TRUNC(0.14354*(B57-220)^1.4)</f>
        <v>686</v>
      </c>
      <c r="C58" s="8">
        <f>TRUNC(10.14*(C57-7)^1.08)</f>
        <v>591</v>
      </c>
      <c r="D58" s="8">
        <f>TRUNC(5.8425*(38-D57)^1.81)</f>
        <v>640</v>
      </c>
      <c r="E58" s="8">
        <f>TRUNC(12.91*(E57-4)^1.1)</f>
        <v>570</v>
      </c>
      <c r="F58" s="8">
        <f>TRUNC(0.03768*(480-F57)^1.85)</f>
        <v>548</v>
      </c>
      <c r="G58" s="15">
        <f>B58+C58+D58+E58+F58</f>
        <v>3035</v>
      </c>
      <c r="H58" t="s">
        <v>61</v>
      </c>
    </row>
    <row r="59" ht="12.75">
      <c r="B59" s="2"/>
    </row>
    <row r="60" spans="1:9" ht="12.75">
      <c r="A60" s="10">
        <v>85</v>
      </c>
      <c r="B60" s="8">
        <v>177</v>
      </c>
      <c r="C60" s="7">
        <v>18.48</v>
      </c>
      <c r="D60" s="7">
        <v>62.2</v>
      </c>
      <c r="E60" s="7">
        <v>20.71</v>
      </c>
      <c r="F60" s="7">
        <v>930</v>
      </c>
      <c r="I60" s="7"/>
    </row>
    <row r="61" spans="1:6" ht="12.75">
      <c r="A61" s="2"/>
      <c r="B61" s="2">
        <v>2.2158</v>
      </c>
      <c r="C61" s="2">
        <v>2.4378</v>
      </c>
      <c r="D61" s="2">
        <v>0.6051</v>
      </c>
      <c r="E61" s="2">
        <v>1.9508</v>
      </c>
      <c r="F61" s="2">
        <v>0.5121</v>
      </c>
    </row>
    <row r="62" spans="1:6" ht="12.75">
      <c r="A62" s="2"/>
      <c r="B62" s="1">
        <f>+TRUNC((B60*B61),0)</f>
        <v>392</v>
      </c>
      <c r="C62" s="11">
        <f>+TRUNC((C60*C61),2)</f>
        <v>45.05</v>
      </c>
      <c r="D62" s="11">
        <f>+ROUNDUP((D60*D61),2)</f>
        <v>37.64</v>
      </c>
      <c r="E62" s="11">
        <f>+TRUNC((E60*E61),2)</f>
        <v>40.4</v>
      </c>
      <c r="F62" s="11">
        <f>+ROUNDUP((F60*F61),2)</f>
        <v>476.26</v>
      </c>
    </row>
    <row r="63" spans="1:8" ht="12.75">
      <c r="A63" s="1"/>
      <c r="B63" s="8">
        <f>TRUNC(0.14354*(B62-220)^1.4)</f>
        <v>193</v>
      </c>
      <c r="C63" s="8">
        <f>TRUNC(10.14*(C62-7)^1.08)</f>
        <v>516</v>
      </c>
      <c r="D63" s="8">
        <f>TRUNC(5.8425*(38-D62)^1.81)</f>
        <v>0</v>
      </c>
      <c r="E63" s="8">
        <f>TRUNC(12.91*(E62-4)^1.1)</f>
        <v>673</v>
      </c>
      <c r="F63" s="8">
        <f>TRUNC(0.03768*(480-F62)^1.85)</f>
        <v>0</v>
      </c>
      <c r="G63" s="15">
        <f>B63+C63+D63+E63+F63</f>
        <v>1382</v>
      </c>
      <c r="H63" t="s">
        <v>62</v>
      </c>
    </row>
    <row r="64" ht="12.75">
      <c r="B64" s="2"/>
    </row>
    <row r="65" spans="1:6" ht="12.75">
      <c r="A65" s="10">
        <v>90</v>
      </c>
      <c r="B65" s="8">
        <v>165</v>
      </c>
      <c r="C65" s="7">
        <v>9.15</v>
      </c>
      <c r="D65" s="7">
        <v>63.3</v>
      </c>
      <c r="E65" s="7">
        <v>7.4</v>
      </c>
      <c r="F65" s="7">
        <v>1160</v>
      </c>
    </row>
    <row r="66" spans="1:6" ht="12.75">
      <c r="A66" s="2"/>
      <c r="B66" s="2">
        <v>2.5031</v>
      </c>
      <c r="C66" s="2">
        <v>2.9137</v>
      </c>
      <c r="D66" s="2">
        <v>0.5231</v>
      </c>
      <c r="E66" s="2">
        <v>2.4402</v>
      </c>
      <c r="F66" s="2">
        <v>0.4095</v>
      </c>
    </row>
    <row r="67" spans="1:6" ht="12.75">
      <c r="A67" s="2"/>
      <c r="B67" s="1">
        <f>+TRUNC((B65*B66),0)</f>
        <v>413</v>
      </c>
      <c r="C67" s="11">
        <f>+TRUNC((C65*C66),2)</f>
        <v>26.66</v>
      </c>
      <c r="D67" s="11">
        <f>+ROUNDUP((D65*D66),2)</f>
        <v>33.12</v>
      </c>
      <c r="E67" s="11">
        <f>+TRUNC((E65*E66),2)</f>
        <v>18.05</v>
      </c>
      <c r="F67" s="11">
        <f>+ROUNDUP((F65*F66),2)</f>
        <v>475.02</v>
      </c>
    </row>
    <row r="68" spans="1:8" ht="12.75">
      <c r="A68" s="1"/>
      <c r="B68" s="8">
        <f>TRUNC(0.14354*(B67-220)^1.4)</f>
        <v>227</v>
      </c>
      <c r="C68" s="8">
        <f>TRUNC(10.14*(C67-7)^1.08)</f>
        <v>252</v>
      </c>
      <c r="D68" s="8">
        <f>TRUNC(5.8425*(38-D67)^1.81)</f>
        <v>102</v>
      </c>
      <c r="E68" s="8">
        <f>TRUNC(12.91*(E67-4)^1.1)</f>
        <v>236</v>
      </c>
      <c r="F68" s="8">
        <f>TRUNC(0.03768*(480-F67)^1.85)</f>
        <v>0</v>
      </c>
      <c r="G68" s="15">
        <f>B68+C68+D68+E68+F68</f>
        <v>817</v>
      </c>
      <c r="H68" t="s">
        <v>63</v>
      </c>
    </row>
    <row r="69" ht="12.75">
      <c r="B69" s="2"/>
    </row>
    <row r="70" spans="1:6" ht="12.75">
      <c r="A70" s="10">
        <v>95</v>
      </c>
      <c r="B70" s="8">
        <v>165</v>
      </c>
      <c r="C70" s="7">
        <v>9.15</v>
      </c>
      <c r="D70" s="7">
        <v>63.3</v>
      </c>
      <c r="E70" s="7">
        <v>7.4</v>
      </c>
      <c r="F70" s="7">
        <v>1160</v>
      </c>
    </row>
    <row r="71" spans="1:6" ht="12.75">
      <c r="A71" s="2"/>
      <c r="B71" s="2">
        <v>2.876</v>
      </c>
      <c r="C71" s="2">
        <v>3.6206</v>
      </c>
      <c r="D71" s="2">
        <v>0.4181</v>
      </c>
      <c r="E71" s="2">
        <v>3.3478</v>
      </c>
      <c r="F71" s="2">
        <v>0.2759</v>
      </c>
    </row>
    <row r="72" spans="1:6" ht="12.75">
      <c r="A72" s="2"/>
      <c r="B72" s="1">
        <f>+TRUNC((B70*B71),0)</f>
        <v>474</v>
      </c>
      <c r="C72" s="11">
        <f>+TRUNC((C70*C71),2)</f>
        <v>33.12</v>
      </c>
      <c r="D72" s="11">
        <f>+ROUNDUP((D70*D71),2)</f>
        <v>26.470000000000002</v>
      </c>
      <c r="E72" s="11">
        <f>+TRUNC((E70*E71),2)</f>
        <v>24.77</v>
      </c>
      <c r="F72" s="11">
        <f>+ROUNDUP((F70*F71),2)</f>
        <v>320.05</v>
      </c>
    </row>
    <row r="73" spans="1:7" ht="12.75">
      <c r="A73" s="1"/>
      <c r="B73" s="8">
        <f>TRUNC(0.14354*(B72-220)^1.4)</f>
        <v>333</v>
      </c>
      <c r="C73" s="8">
        <f>TRUNC(10.14*(C72-7)^1.08)</f>
        <v>343</v>
      </c>
      <c r="D73" s="8">
        <f>TRUNC(5.8425*(38-D72)^1.81)</f>
        <v>488</v>
      </c>
      <c r="E73" s="8">
        <f>TRUNC(12.91*(E72-4)^1.1)</f>
        <v>363</v>
      </c>
      <c r="F73" s="8">
        <f>TRUNC(0.03768*(480-F72)^1.85)</f>
        <v>450</v>
      </c>
      <c r="G73" s="15">
        <f>B73+C73+D73+E73+F73</f>
        <v>1977</v>
      </c>
    </row>
    <row r="74" ht="12.75">
      <c r="B74" s="2"/>
    </row>
    <row r="75" spans="1:6" ht="12.75">
      <c r="A75" s="10" t="s">
        <v>9</v>
      </c>
      <c r="B75" s="8">
        <v>165</v>
      </c>
      <c r="C75" s="7">
        <v>9.15</v>
      </c>
      <c r="D75" s="7">
        <v>63.3</v>
      </c>
      <c r="E75" s="7">
        <v>7.4</v>
      </c>
      <c r="F75" s="7">
        <v>1160</v>
      </c>
    </row>
    <row r="76" spans="1:6" ht="12.75">
      <c r="A76" s="2"/>
      <c r="B76" s="57">
        <v>6.4392</v>
      </c>
      <c r="C76" s="57">
        <v>8.7034</v>
      </c>
      <c r="D76" s="57">
        <v>0.2668</v>
      </c>
      <c r="E76" s="2">
        <v>5.6116</v>
      </c>
      <c r="F76" s="57">
        <v>0.1908</v>
      </c>
    </row>
    <row r="77" spans="1:6" ht="12.75">
      <c r="A77" s="2"/>
      <c r="B77" s="1">
        <f>+TRUNC((B75*B76),0)</f>
        <v>1062</v>
      </c>
      <c r="C77" s="11">
        <f>+TRUNC((C75*C76),2)</f>
        <v>79.63</v>
      </c>
      <c r="D77" s="11">
        <f>+ROUNDUP((D75*D76),2)</f>
        <v>16.89</v>
      </c>
      <c r="E77" s="11">
        <f>+TRUNC((E75*E76),2)</f>
        <v>41.52</v>
      </c>
      <c r="F77" s="11">
        <f>+ROUNDUP((F75*F76),2)</f>
        <v>221.32999999999998</v>
      </c>
    </row>
    <row r="78" spans="1:7" ht="12.75">
      <c r="A78" s="1"/>
      <c r="B78" s="8">
        <f>TRUNC(0.14354*(B77-220)^1.4)</f>
        <v>1788</v>
      </c>
      <c r="C78" s="8">
        <f>TRUNC(10.14*(C77-7)^1.08)</f>
        <v>1037</v>
      </c>
      <c r="D78" s="8">
        <f>TRUNC(5.8425*(38-D77)^1.81)</f>
        <v>1458</v>
      </c>
      <c r="E78" s="8">
        <f>TRUNC(12.91*(E77-4)^1.1)</f>
        <v>696</v>
      </c>
      <c r="F78" s="8">
        <f>TRUNC(0.03768*(480-F77)^1.85)</f>
        <v>1095</v>
      </c>
      <c r="G78" s="15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spans="2:6" ht="12.75">
      <c r="B89" s="2"/>
      <c r="C89" s="15"/>
      <c r="E89" s="15"/>
      <c r="F89" s="15"/>
    </row>
    <row r="90" spans="3:6" ht="12.75">
      <c r="C90" s="15"/>
      <c r="E90" s="15"/>
      <c r="F90" s="15"/>
    </row>
    <row r="92" ht="12.75">
      <c r="E92" s="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1">
      <pane ySplit="1215" topLeftCell="A1" activePane="bottomLeft" state="split"/>
      <selection pane="topLeft" activeCell="A2" sqref="A2"/>
      <selection pane="bottomLeft" activeCell="A3" sqref="A3"/>
    </sheetView>
  </sheetViews>
  <sheetFormatPr defaultColWidth="9.140625" defaultRowHeight="12.75"/>
  <cols>
    <col min="1" max="1" width="9.28125" style="0" bestFit="1" customWidth="1"/>
    <col min="2" max="2" width="10.8515625" style="0" bestFit="1" customWidth="1"/>
    <col min="3" max="3" width="11.00390625" style="0" bestFit="1" customWidth="1"/>
    <col min="4" max="7" width="10.8515625" style="0" bestFit="1" customWidth="1"/>
    <col min="9" max="9" width="9.00390625" style="0" customWidth="1"/>
  </cols>
  <sheetData>
    <row r="1" ht="15.75">
      <c r="A1" s="17" t="s">
        <v>117</v>
      </c>
    </row>
    <row r="3" spans="2:7" ht="12.75">
      <c r="B3" s="27" t="s">
        <v>13</v>
      </c>
      <c r="C3" s="27" t="s">
        <v>2</v>
      </c>
      <c r="D3" s="27" t="s">
        <v>14</v>
      </c>
      <c r="E3" s="27" t="s">
        <v>5</v>
      </c>
      <c r="F3" s="27" t="s">
        <v>15</v>
      </c>
      <c r="G3" t="s">
        <v>12</v>
      </c>
    </row>
    <row r="4" spans="2:6" ht="12.75">
      <c r="B4" s="69"/>
      <c r="C4" s="69"/>
      <c r="D4" s="69"/>
      <c r="E4" s="69"/>
      <c r="F4" s="69"/>
    </row>
    <row r="5" spans="1:6" ht="12.75">
      <c r="A5" s="10">
        <v>30</v>
      </c>
      <c r="B5" s="7">
        <v>63.08</v>
      </c>
      <c r="C5" s="7">
        <v>12.52</v>
      </c>
      <c r="D5" s="7">
        <v>40.08</v>
      </c>
      <c r="E5" s="7">
        <v>42.75</v>
      </c>
      <c r="F5" s="7">
        <v>19.24</v>
      </c>
    </row>
    <row r="6" spans="2:6" ht="12.75">
      <c r="B6" s="2">
        <v>1</v>
      </c>
      <c r="C6" s="2">
        <v>1</v>
      </c>
      <c r="D6" s="2">
        <v>1</v>
      </c>
      <c r="E6" s="2">
        <v>1</v>
      </c>
      <c r="F6" s="2">
        <v>1</v>
      </c>
    </row>
    <row r="7" spans="2:6" ht="12.75">
      <c r="B7" s="11">
        <f>+TRUNC((B5*B6),2)</f>
        <v>63.08</v>
      </c>
      <c r="C7" s="11">
        <f>+TRUNC((C5*C6),2)</f>
        <v>12.52</v>
      </c>
      <c r="D7" s="11">
        <f>+TRUNC((D5*D6),2)</f>
        <v>40.08</v>
      </c>
      <c r="E7" s="11">
        <f>+TRUNC((E5*E6),2)</f>
        <v>42.75</v>
      </c>
      <c r="F7" s="11">
        <f>+TRUNC((F5*F6),2)</f>
        <v>19.24</v>
      </c>
    </row>
    <row r="8" spans="2:8" ht="12.75">
      <c r="B8" s="8">
        <f>TRUNC(13.0449*(B7-7)^1.05)</f>
        <v>894</v>
      </c>
      <c r="C8" s="8">
        <f>TRUNC(51.39*(C7-1.5)^1.05)</f>
        <v>638</v>
      </c>
      <c r="D8" s="8">
        <f>TRUNC(12.91*(D7-4)^1.1)</f>
        <v>666</v>
      </c>
      <c r="E8" s="8">
        <f>TRUNC(10.14*(E7-7)^1.08)</f>
        <v>482</v>
      </c>
      <c r="F8" s="8">
        <f>TRUNC(47.8338*(F7-1.5)^1.05)</f>
        <v>979</v>
      </c>
      <c r="G8" s="15">
        <f>B8+C8+D8+E8+F8</f>
        <v>3659</v>
      </c>
      <c r="H8" s="42" t="s">
        <v>88</v>
      </c>
    </row>
    <row r="9" ht="12.75">
      <c r="C9" s="2"/>
    </row>
    <row r="10" spans="1:13" ht="12.75">
      <c r="A10" s="10">
        <v>35</v>
      </c>
      <c r="B10" s="7">
        <v>43.8</v>
      </c>
      <c r="C10" s="7">
        <v>15.68</v>
      </c>
      <c r="D10" s="7">
        <v>45.03</v>
      </c>
      <c r="E10" s="7">
        <v>58.35</v>
      </c>
      <c r="F10" s="7">
        <v>15.38</v>
      </c>
      <c r="H10" s="12"/>
      <c r="I10" s="7"/>
      <c r="J10" s="7"/>
      <c r="K10" s="7"/>
      <c r="L10" s="7"/>
      <c r="M10" s="7"/>
    </row>
    <row r="11" spans="1:11" ht="12.75">
      <c r="A11" s="2"/>
      <c r="B11" s="2">
        <v>1.03</v>
      </c>
      <c r="C11" s="2">
        <v>1.0372</v>
      </c>
      <c r="D11" s="2">
        <v>1.0143</v>
      </c>
      <c r="E11" s="2">
        <v>1.0126</v>
      </c>
      <c r="F11" s="2">
        <v>1.0203</v>
      </c>
      <c r="H11" s="13"/>
      <c r="J11" s="2"/>
      <c r="K11" s="2"/>
    </row>
    <row r="12" spans="1:8" ht="12.75">
      <c r="A12" s="2"/>
      <c r="B12" s="11">
        <f>+TRUNC((B10*B11),2)</f>
        <v>45.11</v>
      </c>
      <c r="C12" s="11">
        <f>+TRUNC((C10*C11),2)</f>
        <v>16.26</v>
      </c>
      <c r="D12" s="11">
        <f>+TRUNC((D10*D11),2)</f>
        <v>45.67</v>
      </c>
      <c r="E12" s="11">
        <f>+TRUNC((E10*E11),2)</f>
        <v>59.08</v>
      </c>
      <c r="F12" s="11">
        <f>+TRUNC((F10*F11),2)</f>
        <v>15.69</v>
      </c>
      <c r="H12" s="14"/>
    </row>
    <row r="13" spans="1:10" ht="12.75">
      <c r="A13" s="1"/>
      <c r="B13" s="8">
        <f>TRUNC(13.0449*(B12-7)^1.05)</f>
        <v>596</v>
      </c>
      <c r="C13" s="8">
        <f>TRUNC(51.39*(C12-1.5)^1.05)</f>
        <v>867</v>
      </c>
      <c r="D13" s="8">
        <f>TRUNC(12.91*(D12-4)^1.1)</f>
        <v>781</v>
      </c>
      <c r="E13" s="8">
        <f>TRUNC(10.14*(E12-7)^1.08)</f>
        <v>724</v>
      </c>
      <c r="F13" s="8">
        <f>TRUNC(47.8338*(F12-1.5)^1.05)</f>
        <v>775</v>
      </c>
      <c r="G13" s="15">
        <f>B13+C13+D13+E13+F13</f>
        <v>3743</v>
      </c>
      <c r="H13" s="14" t="s">
        <v>65</v>
      </c>
      <c r="J13" s="45"/>
    </row>
    <row r="14" spans="2:6" ht="12.75">
      <c r="B14" s="5"/>
      <c r="C14" s="5"/>
      <c r="D14" s="5"/>
      <c r="E14" s="5"/>
      <c r="F14" s="5"/>
    </row>
    <row r="15" spans="1:13" ht="12.75">
      <c r="A15" s="10">
        <v>40</v>
      </c>
      <c r="B15" s="7">
        <v>47.24</v>
      </c>
      <c r="C15" s="7">
        <v>14.09</v>
      </c>
      <c r="D15" s="7">
        <v>42.22</v>
      </c>
      <c r="E15" s="7">
        <v>45.28</v>
      </c>
      <c r="F15" s="7">
        <v>15.62</v>
      </c>
      <c r="G15" s="42"/>
      <c r="H15" s="7"/>
      <c r="I15" s="7"/>
      <c r="J15" s="7"/>
      <c r="K15" s="7"/>
      <c r="L15" s="7"/>
      <c r="M15" s="7"/>
    </row>
    <row r="16" spans="1:10" ht="12.75">
      <c r="A16" s="14"/>
      <c r="B16" s="14">
        <v>1.1252</v>
      </c>
      <c r="C16" s="14">
        <v>1.1137</v>
      </c>
      <c r="D16" s="14">
        <v>1.1014</v>
      </c>
      <c r="E16" s="14">
        <v>1.0862</v>
      </c>
      <c r="F16" s="14">
        <v>1.0898</v>
      </c>
      <c r="G16" s="42"/>
      <c r="H16" s="42"/>
      <c r="I16" s="42"/>
      <c r="J16" s="54"/>
    </row>
    <row r="17" spans="1:8" ht="12.75">
      <c r="A17" s="14"/>
      <c r="B17" s="12">
        <f>+TRUNC((B15*B16),2)</f>
        <v>53.15</v>
      </c>
      <c r="C17" s="12">
        <f>+TRUNC((C15*C16),2)</f>
        <v>15.69</v>
      </c>
      <c r="D17" s="12">
        <f>+TRUNC((D15*D16),2)</f>
        <v>46.5</v>
      </c>
      <c r="E17" s="12">
        <f>+TRUNC((E15*E16),2)</f>
        <v>49.18</v>
      </c>
      <c r="F17" s="12">
        <f>+TRUNC((F15*F16),2)</f>
        <v>17.02</v>
      </c>
      <c r="G17" s="42"/>
      <c r="H17" s="42"/>
    </row>
    <row r="18" spans="1:8" ht="12.75">
      <c r="A18" s="8"/>
      <c r="B18" s="8">
        <f>TRUNC(13.0449*(B17-7)^1.05)</f>
        <v>729</v>
      </c>
      <c r="C18" s="8">
        <f>TRUNC(51.39*(C17-1.5)^1.05)</f>
        <v>832</v>
      </c>
      <c r="D18" s="8">
        <f>TRUNC(12.91*(D17-4)^1.1)</f>
        <v>798</v>
      </c>
      <c r="E18" s="8">
        <f>TRUNC(10.14*(E17-7)^1.08)</f>
        <v>576</v>
      </c>
      <c r="F18" s="8">
        <f>TRUNC(47.8338*(F17-1.5)^1.05)</f>
        <v>851</v>
      </c>
      <c r="G18" s="44">
        <f>B18+C18+D18+E18+F18</f>
        <v>3786</v>
      </c>
      <c r="H18" s="42" t="s">
        <v>98</v>
      </c>
    </row>
    <row r="19" spans="1:6" ht="12.75">
      <c r="A19" s="6"/>
      <c r="B19" s="5"/>
      <c r="C19" s="5"/>
      <c r="D19" s="5"/>
      <c r="E19" s="5"/>
      <c r="F19" s="5"/>
    </row>
    <row r="20" spans="1:6" ht="12.75">
      <c r="A20" s="10">
        <v>45</v>
      </c>
      <c r="B20" s="7">
        <v>40.41</v>
      </c>
      <c r="C20" s="7">
        <v>13.4</v>
      </c>
      <c r="D20" s="7">
        <v>33.5</v>
      </c>
      <c r="E20" s="7">
        <v>60.46</v>
      </c>
      <c r="F20" s="7">
        <v>13.58</v>
      </c>
    </row>
    <row r="21" spans="1:6" ht="12.75">
      <c r="A21" s="2"/>
      <c r="B21" s="2">
        <v>1.2397</v>
      </c>
      <c r="C21" s="2">
        <v>1.2023</v>
      </c>
      <c r="D21" s="2">
        <v>1.2049</v>
      </c>
      <c r="E21" s="2">
        <v>1.1716</v>
      </c>
      <c r="F21" s="2">
        <v>1.1697</v>
      </c>
    </row>
    <row r="22" spans="1:6" ht="12.75">
      <c r="A22" s="2"/>
      <c r="B22" s="11">
        <f>+TRUNC((B20*B21),2)</f>
        <v>50.09</v>
      </c>
      <c r="C22" s="11">
        <f>+TRUNC((C20*C21),2)</f>
        <v>16.11</v>
      </c>
      <c r="D22" s="11">
        <f>+TRUNC((D20*D21),2)</f>
        <v>40.36</v>
      </c>
      <c r="E22" s="11">
        <f>+TRUNC((E20*E21),2)</f>
        <v>70.83</v>
      </c>
      <c r="F22" s="11">
        <f>+TRUNC((F20*F21),2)</f>
        <v>15.88</v>
      </c>
    </row>
    <row r="23" spans="1:8" ht="12.75">
      <c r="A23" s="1"/>
      <c r="B23" s="8">
        <f>TRUNC(13.0449*(B22-7)^1.05)</f>
        <v>678</v>
      </c>
      <c r="C23" s="8">
        <f>TRUNC(51.39*(C22-1.5)^1.05)</f>
        <v>858</v>
      </c>
      <c r="D23" s="8">
        <f>TRUNC(12.91*(D22-4)^1.1)</f>
        <v>672</v>
      </c>
      <c r="E23" s="8">
        <f>TRUNC(10.14*(E22-7)^1.08)</f>
        <v>902</v>
      </c>
      <c r="F23" s="8">
        <f>TRUNC(47.8338*(F22-1.5)^1.05)</f>
        <v>785</v>
      </c>
      <c r="G23" s="15">
        <f>B23+C23+D23+E23+F23</f>
        <v>3895</v>
      </c>
      <c r="H23" t="s">
        <v>64</v>
      </c>
    </row>
    <row r="24" spans="2:6" ht="12.75">
      <c r="B24" s="3"/>
      <c r="C24" s="3"/>
      <c r="D24" s="3"/>
      <c r="E24" s="3"/>
      <c r="F24" s="3"/>
    </row>
    <row r="25" spans="1:13" ht="12.75">
      <c r="A25" s="10">
        <v>50</v>
      </c>
      <c r="B25" s="7">
        <v>48.3</v>
      </c>
      <c r="C25" s="7">
        <v>13.03</v>
      </c>
      <c r="D25" s="7">
        <v>48.7</v>
      </c>
      <c r="E25" s="7">
        <v>44.03</v>
      </c>
      <c r="F25" s="7">
        <v>17.81</v>
      </c>
      <c r="I25" s="7"/>
      <c r="J25" s="7"/>
      <c r="K25" s="7"/>
      <c r="L25" s="7"/>
      <c r="M25" s="7"/>
    </row>
    <row r="26" spans="1:6" ht="12.75">
      <c r="A26" s="2"/>
      <c r="B26" s="2">
        <v>1.1864</v>
      </c>
      <c r="C26" s="2">
        <v>1.1721</v>
      </c>
      <c r="D26" s="2">
        <v>1.0218</v>
      </c>
      <c r="E26" s="2">
        <v>1.2278</v>
      </c>
      <c r="F26" s="2">
        <v>1.0488</v>
      </c>
    </row>
    <row r="27" spans="1:6" ht="12.75">
      <c r="A27" s="2"/>
      <c r="B27" s="11">
        <f>+TRUNC((B25*B26),2)</f>
        <v>57.3</v>
      </c>
      <c r="C27" s="11">
        <f>+TRUNC((C25*C26),2)</f>
        <v>15.27</v>
      </c>
      <c r="D27" s="11">
        <f>+TRUNC((D25*D26),2)</f>
        <v>49.76</v>
      </c>
      <c r="E27" s="11">
        <f>+TRUNC((E25*E26),2)</f>
        <v>54.06</v>
      </c>
      <c r="F27" s="11">
        <f>+TRUNC((F25*F26),2)</f>
        <v>18.67</v>
      </c>
    </row>
    <row r="28" spans="1:10" ht="12.75">
      <c r="A28" s="1"/>
      <c r="B28" s="8">
        <f>TRUNC(13.0449*(B27-7)^1.05)</f>
        <v>798</v>
      </c>
      <c r="C28" s="8">
        <f>TRUNC(51.39*(C27-1.5)^1.05)</f>
        <v>806</v>
      </c>
      <c r="D28" s="8">
        <f>TRUNC(12.91*(D27-4)^1.1)</f>
        <v>865</v>
      </c>
      <c r="E28" s="8">
        <f>TRUNC(10.14*(E27-7)^1.08)</f>
        <v>649</v>
      </c>
      <c r="F28" s="8">
        <f>TRUNC(47.8338*(F27-1.5)^1.05)</f>
        <v>946</v>
      </c>
      <c r="G28" s="15">
        <f>B28+C28+D28+E28+F28</f>
        <v>4064</v>
      </c>
      <c r="H28" t="s">
        <v>66</v>
      </c>
      <c r="J28" s="15"/>
    </row>
    <row r="29" spans="2:6" ht="12.75">
      <c r="B29" s="3"/>
      <c r="C29" s="3"/>
      <c r="D29" s="3"/>
      <c r="E29" s="3"/>
      <c r="F29" s="3"/>
    </row>
    <row r="30" spans="1:13" ht="12.75">
      <c r="A30" s="10">
        <v>55</v>
      </c>
      <c r="B30" s="7">
        <v>37.29</v>
      </c>
      <c r="C30" s="7">
        <v>14.75</v>
      </c>
      <c r="D30" s="7">
        <v>40.99</v>
      </c>
      <c r="E30" s="7">
        <v>47.6</v>
      </c>
      <c r="F30" s="7">
        <v>16.26</v>
      </c>
      <c r="G30" s="42"/>
      <c r="H30" s="7"/>
      <c r="I30" s="53"/>
      <c r="J30" s="53"/>
      <c r="K30" s="53"/>
      <c r="L30" s="53"/>
      <c r="M30" s="53"/>
    </row>
    <row r="31" spans="1:8" ht="12.75">
      <c r="A31" s="14"/>
      <c r="B31" s="14">
        <v>1.3145</v>
      </c>
      <c r="C31" s="14">
        <v>1.2706</v>
      </c>
      <c r="D31" s="14">
        <v>1.1103</v>
      </c>
      <c r="E31" s="14">
        <v>1.338</v>
      </c>
      <c r="F31" s="14">
        <v>1.1225</v>
      </c>
      <c r="G31" s="42"/>
      <c r="H31" s="42"/>
    </row>
    <row r="32" spans="1:8" ht="12.75">
      <c r="A32" s="14"/>
      <c r="B32" s="12">
        <f>+TRUNC((B30*B31),2)</f>
        <v>49.01</v>
      </c>
      <c r="C32" s="12">
        <f>+TRUNC((C30*C31),2)</f>
        <v>18.74</v>
      </c>
      <c r="D32" s="12">
        <f>+TRUNC((D30*D31),2)</f>
        <v>45.51</v>
      </c>
      <c r="E32" s="12">
        <f>+TRUNC((E30*E31),2)</f>
        <v>63.68</v>
      </c>
      <c r="F32" s="12">
        <f>+TRUNC((F30*F31),2)</f>
        <v>18.25</v>
      </c>
      <c r="G32" s="42"/>
      <c r="H32" s="42"/>
    </row>
    <row r="33" spans="1:9" ht="12.75">
      <c r="A33" s="52"/>
      <c r="B33" s="8">
        <f>TRUNC(13.0449*(B32-7)^1.05)</f>
        <v>660</v>
      </c>
      <c r="C33" s="8">
        <f>TRUNC(51.39*(C32-1.5)^1.05)</f>
        <v>1021</v>
      </c>
      <c r="D33" s="8">
        <f>TRUNC(12.91*(D32-4)^1.1)</f>
        <v>777</v>
      </c>
      <c r="E33" s="8">
        <f>TRUNC(10.14*(E32-7)^1.08)</f>
        <v>793</v>
      </c>
      <c r="F33" s="8">
        <f>TRUNC(47.8338*(F32-1.5)^1.05)</f>
        <v>922</v>
      </c>
      <c r="G33" s="44">
        <f>B33+C33+D33+E33+F33</f>
        <v>4173</v>
      </c>
      <c r="H33" s="42" t="s">
        <v>122</v>
      </c>
      <c r="I33" s="54"/>
    </row>
    <row r="34" spans="1:6" ht="12.75">
      <c r="A34" t="s">
        <v>0</v>
      </c>
      <c r="B34" s="2"/>
      <c r="C34" s="2"/>
      <c r="D34" s="2"/>
      <c r="E34" s="2"/>
      <c r="F34" s="2"/>
    </row>
    <row r="35" spans="1:6" ht="12.75">
      <c r="A35" s="10">
        <v>60</v>
      </c>
      <c r="B35" s="7">
        <v>49.06</v>
      </c>
      <c r="C35" s="7">
        <v>12.68</v>
      </c>
      <c r="D35" s="7">
        <v>46.79</v>
      </c>
      <c r="E35" s="7">
        <v>39.53</v>
      </c>
      <c r="F35" s="7">
        <v>19.25</v>
      </c>
    </row>
    <row r="36" spans="1:6" ht="12.75">
      <c r="A36" s="2"/>
      <c r="B36" s="2">
        <v>1.3082</v>
      </c>
      <c r="C36" s="2">
        <v>1.2482</v>
      </c>
      <c r="D36" s="2">
        <v>1.0628</v>
      </c>
      <c r="E36" s="2">
        <v>1.414</v>
      </c>
      <c r="F36" s="2">
        <v>1.0424</v>
      </c>
    </row>
    <row r="37" spans="1:6" ht="12.75">
      <c r="A37" s="2"/>
      <c r="B37" s="11">
        <f>+TRUNC((B35*B36),2)</f>
        <v>64.18</v>
      </c>
      <c r="C37" s="11">
        <f>+TRUNC((C35*C36),2)</f>
        <v>15.82</v>
      </c>
      <c r="D37" s="11">
        <f>+TRUNC((D35*D36),2)</f>
        <v>49.72</v>
      </c>
      <c r="E37" s="11">
        <f>+TRUNC((E35*E36),2)</f>
        <v>55.89</v>
      </c>
      <c r="F37" s="11">
        <f>+TRUNC((F35*F36),2)</f>
        <v>20.06</v>
      </c>
    </row>
    <row r="38" spans="1:8" ht="12.75">
      <c r="A38" s="1"/>
      <c r="B38" s="8">
        <f>TRUNC(13.0449*(B37-7)^1.05)</f>
        <v>913</v>
      </c>
      <c r="C38" s="8">
        <f>TRUNC(51.39*(C37-1.5)^1.05)</f>
        <v>840</v>
      </c>
      <c r="D38" s="8">
        <f>TRUNC(12.91*(D37-4)^1.1)</f>
        <v>865</v>
      </c>
      <c r="E38" s="8">
        <f>TRUNC(10.14*(E37-7)^1.08)</f>
        <v>676</v>
      </c>
      <c r="F38" s="8">
        <f>TRUNC(47.8338*(F37-1.5)^1.05)</f>
        <v>1027</v>
      </c>
      <c r="G38" s="15">
        <f>B38+C38+D38+E38+F38</f>
        <v>4321</v>
      </c>
      <c r="H38" t="s">
        <v>67</v>
      </c>
    </row>
    <row r="39" spans="2:6" ht="12.75">
      <c r="B39" s="3"/>
      <c r="C39" s="3"/>
      <c r="D39" s="3"/>
      <c r="E39" s="3"/>
      <c r="F39" s="3"/>
    </row>
    <row r="40" spans="1:13" ht="12.75">
      <c r="A40" s="10">
        <v>65</v>
      </c>
      <c r="B40" s="7">
        <v>49.84</v>
      </c>
      <c r="C40" s="7">
        <v>12.95</v>
      </c>
      <c r="D40" s="7">
        <v>46.92</v>
      </c>
      <c r="E40" s="7">
        <v>43.66</v>
      </c>
      <c r="F40" s="7">
        <v>18.96</v>
      </c>
      <c r="G40" s="42"/>
      <c r="H40" s="7"/>
      <c r="I40" s="7"/>
      <c r="J40" s="7"/>
      <c r="K40" s="7"/>
      <c r="L40" s="7"/>
      <c r="M40" s="7"/>
    </row>
    <row r="41" spans="1:8" ht="12.75">
      <c r="A41" s="14"/>
      <c r="B41" s="14">
        <v>1.4656</v>
      </c>
      <c r="C41" s="14">
        <v>1.3607</v>
      </c>
      <c r="D41" s="14">
        <v>1.1637</v>
      </c>
      <c r="E41" s="14">
        <v>1.562</v>
      </c>
      <c r="F41" s="14">
        <v>1.1153</v>
      </c>
      <c r="G41" s="42"/>
      <c r="H41" s="42"/>
    </row>
    <row r="42" spans="1:8" ht="12.75">
      <c r="A42" s="14"/>
      <c r="B42" s="12">
        <f>+TRUNC((B40*B41),2)</f>
        <v>73.04</v>
      </c>
      <c r="C42" s="12">
        <f>+TRUNC((C40*C41),2)</f>
        <v>17.62</v>
      </c>
      <c r="D42" s="12">
        <f>+TRUNC((D40*D41),2)</f>
        <v>54.6</v>
      </c>
      <c r="E42" s="12">
        <f>+TRUNC((E40*E41),2)</f>
        <v>68.19</v>
      </c>
      <c r="F42" s="12">
        <f>+TRUNC((F40*F41),2)</f>
        <v>21.14</v>
      </c>
      <c r="G42" s="42"/>
      <c r="H42" s="42"/>
    </row>
    <row r="43" spans="1:8" ht="12.75">
      <c r="A43" s="52"/>
      <c r="B43" s="8">
        <f>TRUNC(13.0449*(B42-7)^1.05)</f>
        <v>1062</v>
      </c>
      <c r="C43" s="8">
        <f>TRUNC(51.39*(C42-1.5)^1.05)</f>
        <v>951</v>
      </c>
      <c r="D43" s="8">
        <f>TRUNC(12.91*(D42-4)^1.1)</f>
        <v>967</v>
      </c>
      <c r="E43" s="8">
        <f>TRUNC(10.14*(E42-7)^1.08)</f>
        <v>862</v>
      </c>
      <c r="F43" s="8">
        <f>TRUNC(47.8338*(F42-1.5)^1.05)</f>
        <v>1090</v>
      </c>
      <c r="G43" s="44">
        <f>B43+C43+D43+E43+F43</f>
        <v>4932</v>
      </c>
      <c r="H43" s="42" t="s">
        <v>67</v>
      </c>
    </row>
    <row r="44" ht="12.75">
      <c r="C44" s="2"/>
    </row>
    <row r="45" spans="1:13" ht="12.75">
      <c r="A45" s="10">
        <v>70</v>
      </c>
      <c r="B45" s="7">
        <v>41.28</v>
      </c>
      <c r="C45" s="7">
        <v>12.9</v>
      </c>
      <c r="D45" s="7">
        <v>37.67</v>
      </c>
      <c r="E45" s="7">
        <v>49.02</v>
      </c>
      <c r="F45" s="7">
        <v>17.36</v>
      </c>
      <c r="G45" s="42"/>
      <c r="H45" s="7"/>
      <c r="I45" s="7"/>
      <c r="J45" s="7"/>
      <c r="K45" s="7"/>
      <c r="L45" s="7"/>
      <c r="M45" s="7"/>
    </row>
    <row r="46" spans="1:7" ht="12.75">
      <c r="A46" s="14"/>
      <c r="B46" s="59">
        <v>1.4524</v>
      </c>
      <c r="C46" s="59">
        <v>1.2806</v>
      </c>
      <c r="D46" s="14">
        <v>1.2781</v>
      </c>
      <c r="E46" s="14">
        <v>1.6801</v>
      </c>
      <c r="F46" s="14">
        <v>1.1408</v>
      </c>
      <c r="G46" s="42"/>
    </row>
    <row r="47" spans="1:7" ht="12.75">
      <c r="A47" s="14"/>
      <c r="B47" s="12">
        <f>+TRUNC((B45*B46),2)</f>
        <v>59.95</v>
      </c>
      <c r="C47" s="12">
        <f>+TRUNC((C45*C46),2)</f>
        <v>16.51</v>
      </c>
      <c r="D47" s="12">
        <f>+TRUNC((D45*D46),2)</f>
        <v>48.14</v>
      </c>
      <c r="E47" s="12">
        <f>+TRUNC((E45*E46),2)</f>
        <v>82.35</v>
      </c>
      <c r="F47" s="12">
        <f>+TRUNC((F45*F46),2)</f>
        <v>19.8</v>
      </c>
      <c r="G47" s="42"/>
    </row>
    <row r="48" spans="1:10" ht="12.75">
      <c r="A48" s="52"/>
      <c r="B48" s="8">
        <f>TRUNC(13.0449*(B47-7)^1.05)</f>
        <v>842</v>
      </c>
      <c r="C48" s="8">
        <f>TRUNC(51.39*(C47-1.5)^1.05)</f>
        <v>883</v>
      </c>
      <c r="D48" s="8">
        <f>TRUNC(12.91*(D47-4)^1.1)</f>
        <v>832</v>
      </c>
      <c r="E48" s="8">
        <f>TRUNC(10.14*(E47-7)^1.08)</f>
        <v>1079</v>
      </c>
      <c r="F48" s="8">
        <f>TRUNC(47.8338*(F47-1.5)^1.05)</f>
        <v>1012</v>
      </c>
      <c r="G48" s="44">
        <f>B48+C48+D48+E48+F48</f>
        <v>4648</v>
      </c>
      <c r="H48" s="42" t="s">
        <v>100</v>
      </c>
      <c r="I48" s="54"/>
      <c r="J48" s="45"/>
    </row>
    <row r="49" ht="12.75">
      <c r="C49" s="2"/>
    </row>
    <row r="50" spans="1:12" ht="12.75">
      <c r="A50" s="10">
        <v>75</v>
      </c>
      <c r="B50" s="7">
        <v>34.35</v>
      </c>
      <c r="C50" s="7">
        <v>13.43</v>
      </c>
      <c r="D50" s="7">
        <v>33.25</v>
      </c>
      <c r="E50" s="7">
        <v>30.22</v>
      </c>
      <c r="F50" s="7">
        <v>14.82</v>
      </c>
      <c r="H50" s="7"/>
      <c r="I50" s="7"/>
      <c r="J50" s="7"/>
      <c r="K50" s="7"/>
      <c r="L50" s="7"/>
    </row>
    <row r="51" spans="1:6" ht="12.75">
      <c r="A51" s="2"/>
      <c r="B51" s="57">
        <v>1.649</v>
      </c>
      <c r="C51" s="57">
        <v>1.3993</v>
      </c>
      <c r="D51" s="2">
        <v>1.4332</v>
      </c>
      <c r="E51" s="2">
        <v>1.8932</v>
      </c>
      <c r="F51" s="2">
        <v>1.2286</v>
      </c>
    </row>
    <row r="52" spans="1:6" ht="12.75">
      <c r="A52" s="2"/>
      <c r="B52" s="11">
        <f>+TRUNC((B50*B51),2)</f>
        <v>56.64</v>
      </c>
      <c r="C52" s="11">
        <f>+TRUNC((C50*C51),2)</f>
        <v>18.79</v>
      </c>
      <c r="D52" s="11">
        <f>+TRUNC((D50*D51),2)</f>
        <v>47.65</v>
      </c>
      <c r="E52" s="11">
        <f>+TRUNC((E50*E51),2)</f>
        <v>57.21</v>
      </c>
      <c r="F52" s="11">
        <f>+TRUNC((F50*F51),2)</f>
        <v>18.2</v>
      </c>
    </row>
    <row r="53" spans="1:8" ht="12.75">
      <c r="A53" s="1"/>
      <c r="B53" s="8">
        <f>TRUNC(13.0449*(B52-7)^1.05)</f>
        <v>787</v>
      </c>
      <c r="C53" s="8">
        <f>TRUNC(51.39*(C52-1.5)^1.05)</f>
        <v>1024</v>
      </c>
      <c r="D53" s="8">
        <f>TRUNC(12.91*(D52-4)^1.1)</f>
        <v>822</v>
      </c>
      <c r="E53" s="8">
        <f>TRUNC(10.14*(E52-7)^1.08)</f>
        <v>696</v>
      </c>
      <c r="F53" s="8">
        <f>TRUNC(47.8338*(F52-1.5)^1.05)</f>
        <v>919</v>
      </c>
      <c r="G53" s="15">
        <f>B53+C53+D53+E53+F53</f>
        <v>4248</v>
      </c>
      <c r="H53" t="s">
        <v>68</v>
      </c>
    </row>
    <row r="54" ht="12.75">
      <c r="C54" s="2"/>
    </row>
    <row r="55" spans="1:6" ht="12.75">
      <c r="A55" s="10">
        <v>80</v>
      </c>
      <c r="B55" s="7">
        <v>35.96</v>
      </c>
      <c r="C55" s="7">
        <v>13.98</v>
      </c>
      <c r="D55" s="7">
        <v>29.92</v>
      </c>
      <c r="E55" s="7">
        <v>29.12</v>
      </c>
      <c r="F55" s="7">
        <v>15.12</v>
      </c>
    </row>
    <row r="56" spans="1:6" ht="12.75">
      <c r="A56" s="2"/>
      <c r="B56" s="57">
        <v>1.8654</v>
      </c>
      <c r="C56" s="57">
        <v>1.5053</v>
      </c>
      <c r="D56" s="2">
        <v>1.6441</v>
      </c>
      <c r="E56" s="2">
        <v>2.0952</v>
      </c>
      <c r="F56" s="2">
        <v>1.3043</v>
      </c>
    </row>
    <row r="57" spans="1:6" ht="12.75">
      <c r="A57" s="2"/>
      <c r="B57" s="22">
        <f>+TRUNC((B55*B56),2)</f>
        <v>67.07</v>
      </c>
      <c r="C57" s="11">
        <f>+TRUNC((C55*C56),2)</f>
        <v>21.04</v>
      </c>
      <c r="D57" s="11">
        <f>+TRUNC((D55*D56),2)</f>
        <v>49.19</v>
      </c>
      <c r="E57" s="11">
        <f>+TRUNC((E55*E56),2)</f>
        <v>61.01</v>
      </c>
      <c r="F57" s="11">
        <f>+TRUNC((F55*F56),2)</f>
        <v>19.72</v>
      </c>
    </row>
    <row r="58" spans="1:8" ht="12.75">
      <c r="A58" s="1"/>
      <c r="B58" s="23">
        <f>TRUNC(13.0449*(B57-7)^1.05)</f>
        <v>961</v>
      </c>
      <c r="C58" s="8">
        <f>TRUNC(51.39*(C57-1.5)^1.05)</f>
        <v>1165</v>
      </c>
      <c r="D58" s="8">
        <f>TRUNC(12.91*(D57-4)^1.1)</f>
        <v>854</v>
      </c>
      <c r="E58" s="8">
        <f>TRUNC(10.14*(E57-7)^1.08)</f>
        <v>753</v>
      </c>
      <c r="F58" s="8">
        <f>TRUNC(47.8338*(F57-1.5)^1.05)</f>
        <v>1007</v>
      </c>
      <c r="G58" s="15">
        <f>B58+C58+D58+E58+F58</f>
        <v>4740</v>
      </c>
      <c r="H58" t="s">
        <v>68</v>
      </c>
    </row>
    <row r="59" spans="2:3" ht="12.75">
      <c r="B59" s="33"/>
      <c r="C59" s="2"/>
    </row>
    <row r="60" spans="1:6" ht="12.75">
      <c r="A60" s="10">
        <v>85</v>
      </c>
      <c r="B60" s="25">
        <v>31.4</v>
      </c>
      <c r="C60" s="25">
        <v>11.05</v>
      </c>
      <c r="D60" s="7">
        <v>23.24</v>
      </c>
      <c r="E60" s="7">
        <v>24.11</v>
      </c>
      <c r="F60" s="7">
        <v>15.34</v>
      </c>
    </row>
    <row r="61" spans="1:6" ht="12.75">
      <c r="A61" s="2"/>
      <c r="B61" s="57">
        <v>2.2212</v>
      </c>
      <c r="C61" s="57">
        <v>1.6866</v>
      </c>
      <c r="D61" s="2">
        <v>1.9508</v>
      </c>
      <c r="E61" s="2">
        <v>2.4378</v>
      </c>
      <c r="F61" s="2">
        <v>1.4452</v>
      </c>
    </row>
    <row r="62" spans="1:6" ht="12.75">
      <c r="A62" s="2"/>
      <c r="B62" s="22">
        <f>+TRUNC((B60*B61),2)</f>
        <v>69.74</v>
      </c>
      <c r="C62" s="22">
        <f>+TRUNC((C60*C61),2)</f>
        <v>18.63</v>
      </c>
      <c r="D62" s="11">
        <f>+TRUNC((D60*D61),2)</f>
        <v>45.33</v>
      </c>
      <c r="E62" s="11">
        <f>+TRUNC((E60*E61),2)</f>
        <v>58.77</v>
      </c>
      <c r="F62" s="11">
        <f>+TRUNC((F60*F61),2)</f>
        <v>22.16</v>
      </c>
    </row>
    <row r="63" spans="1:8" ht="12.75">
      <c r="A63" s="1"/>
      <c r="B63" s="23">
        <f>TRUNC(13.0449*(B62-7)^1.05)</f>
        <v>1006</v>
      </c>
      <c r="C63" s="23">
        <f>TRUNC(51.39*(C62-1.5)^1.05)</f>
        <v>1014</v>
      </c>
      <c r="D63" s="8">
        <f>TRUNC(12.91*(D62-4)^1.1)</f>
        <v>774</v>
      </c>
      <c r="E63" s="8">
        <f>TRUNC(10.14*(E62-7)^1.08)</f>
        <v>719</v>
      </c>
      <c r="F63" s="8">
        <f>TRUNC(47.8338*(F62-1.5)^1.05)</f>
        <v>1149</v>
      </c>
      <c r="G63" s="15">
        <f>B63+C63+D63+E63+F63</f>
        <v>4662</v>
      </c>
      <c r="H63" t="s">
        <v>69</v>
      </c>
    </row>
    <row r="64" spans="2:3" ht="12.75">
      <c r="B64" s="33"/>
      <c r="C64" s="21"/>
    </row>
    <row r="65" spans="1:6" ht="12.75">
      <c r="A65" s="10">
        <v>90</v>
      </c>
      <c r="B65" s="25">
        <v>22.51</v>
      </c>
      <c r="C65" s="25">
        <v>7.97</v>
      </c>
      <c r="D65" s="7">
        <v>16.83</v>
      </c>
      <c r="E65" s="7">
        <v>22.38</v>
      </c>
      <c r="F65" s="7">
        <v>8.72</v>
      </c>
    </row>
    <row r="66" spans="1:6" ht="12.75">
      <c r="A66" s="2"/>
      <c r="B66" s="57">
        <v>2.7616</v>
      </c>
      <c r="C66" s="57">
        <v>1.9535</v>
      </c>
      <c r="D66" s="2">
        <v>2.4402</v>
      </c>
      <c r="E66" s="2">
        <v>2.9137</v>
      </c>
      <c r="F66" s="2">
        <v>1.6714</v>
      </c>
    </row>
    <row r="67" spans="1:6" ht="12.75">
      <c r="A67" s="2"/>
      <c r="B67" s="22">
        <f>+TRUNC((B65*B66),2)</f>
        <v>62.16</v>
      </c>
      <c r="C67" s="22">
        <f>+TRUNC((C65*C66),2)</f>
        <v>15.56</v>
      </c>
      <c r="D67" s="11">
        <f>+TRUNC((D65*D66),2)</f>
        <v>41.06</v>
      </c>
      <c r="E67" s="11">
        <f>+TRUNC((E65*E66),2)</f>
        <v>65.2</v>
      </c>
      <c r="F67" s="11">
        <f>+TRUNC((F65*F66),2)</f>
        <v>14.57</v>
      </c>
    </row>
    <row r="68" spans="1:8" ht="12.75">
      <c r="A68" s="1"/>
      <c r="B68" s="23">
        <f>TRUNC(13.0449*(B67-7)^1.05)</f>
        <v>879</v>
      </c>
      <c r="C68" s="23">
        <f>TRUNC(51.39*(C67-1.5)^1.05)</f>
        <v>824</v>
      </c>
      <c r="D68" s="8">
        <f>TRUNC(12.91*(D67-4)^1.1)</f>
        <v>686</v>
      </c>
      <c r="E68" s="8">
        <f>TRUNC(10.14*(E67-7)^1.08)</f>
        <v>816</v>
      </c>
      <c r="F68" s="8">
        <f>TRUNC(47.8338*(F67-1.5)^1.05)</f>
        <v>710</v>
      </c>
      <c r="G68" s="15">
        <f>B68+C68+D68+E68+F68</f>
        <v>3915</v>
      </c>
      <c r="H68" t="s">
        <v>70</v>
      </c>
    </row>
    <row r="69" spans="2:3" ht="12.75">
      <c r="B69" s="33"/>
      <c r="C69" s="21"/>
    </row>
    <row r="70" spans="1:6" ht="12.75">
      <c r="A70" s="10">
        <v>95</v>
      </c>
      <c r="B70" s="25">
        <v>17.48</v>
      </c>
      <c r="C70" s="25">
        <v>6.15</v>
      </c>
      <c r="D70" s="7">
        <v>13.74</v>
      </c>
      <c r="E70" s="7">
        <v>14.31</v>
      </c>
      <c r="F70" s="7">
        <v>6.94</v>
      </c>
    </row>
    <row r="71" spans="1:6" ht="12.75">
      <c r="A71" s="2"/>
      <c r="B71" s="57">
        <v>3.6895</v>
      </c>
      <c r="C71" s="58">
        <v>2.4044</v>
      </c>
      <c r="D71" s="2">
        <v>3.3478</v>
      </c>
      <c r="E71" s="2">
        <v>3.6206</v>
      </c>
      <c r="F71" s="2">
        <v>2.1057</v>
      </c>
    </row>
    <row r="72" spans="1:6" ht="12.75">
      <c r="A72" s="2"/>
      <c r="B72" s="22">
        <f>+TRUNC((B70*B71),2)</f>
        <v>64.49</v>
      </c>
      <c r="C72" s="22">
        <f>+TRUNC((C70*C71),2)</f>
        <v>14.78</v>
      </c>
      <c r="D72" s="11">
        <f>+TRUNC((D70*D71),2)</f>
        <v>45.99</v>
      </c>
      <c r="E72" s="11">
        <f>+TRUNC((E70*E71),2)</f>
        <v>51.81</v>
      </c>
      <c r="F72" s="11">
        <f>+TRUNC((F70*F71),2)</f>
        <v>14.61</v>
      </c>
    </row>
    <row r="73" spans="1:8" ht="12.75">
      <c r="A73" s="1"/>
      <c r="B73" s="23">
        <f>TRUNC(13.0449*(B72-7)^1.05)</f>
        <v>918</v>
      </c>
      <c r="C73" s="23">
        <f>TRUNC(51.39*(C72-1.5)^1.05)</f>
        <v>776</v>
      </c>
      <c r="D73" s="8">
        <f>TRUNC(12.91*(D72-4)^1.1)</f>
        <v>787</v>
      </c>
      <c r="E73" s="8">
        <f>TRUNC(10.14*(E72-7)^1.08)</f>
        <v>615</v>
      </c>
      <c r="F73" s="8">
        <f>TRUNC(47.8338*(F72-1.5)^1.05)</f>
        <v>713</v>
      </c>
      <c r="G73" s="15">
        <f>B73+C73+D73+E73+F73</f>
        <v>3809</v>
      </c>
      <c r="H73" t="s">
        <v>70</v>
      </c>
    </row>
    <row r="74" spans="2:3" ht="12.75">
      <c r="B74" s="33"/>
      <c r="C74" s="21"/>
    </row>
    <row r="75" spans="1:6" ht="12.75">
      <c r="A75" s="10" t="s">
        <v>9</v>
      </c>
      <c r="B75" s="25">
        <v>22.51</v>
      </c>
      <c r="C75" s="25">
        <v>7.97</v>
      </c>
      <c r="D75" s="7">
        <v>16.83</v>
      </c>
      <c r="E75" s="7">
        <v>14.31</v>
      </c>
      <c r="F75" s="7">
        <v>8.72</v>
      </c>
    </row>
    <row r="76" spans="1:6" ht="12.75">
      <c r="A76" s="2"/>
      <c r="B76" s="57">
        <v>5.6369</v>
      </c>
      <c r="C76" s="57">
        <v>3.3512</v>
      </c>
      <c r="D76" s="2">
        <v>5.6116</v>
      </c>
      <c r="E76" s="57">
        <v>8.7034</v>
      </c>
      <c r="F76" s="2">
        <v>3.2456</v>
      </c>
    </row>
    <row r="77" spans="1:6" ht="12.75">
      <c r="A77" s="2"/>
      <c r="B77" s="22">
        <f>+TRUNC((B75*B76),2)</f>
        <v>126.88</v>
      </c>
      <c r="C77" s="11">
        <f>+TRUNC((C75*C76),2)</f>
        <v>26.7</v>
      </c>
      <c r="D77" s="11">
        <f>+TRUNC((D75*D76),2)</f>
        <v>94.44</v>
      </c>
      <c r="E77" s="11">
        <f>+TRUNC((E75*E76),2)</f>
        <v>124.54</v>
      </c>
      <c r="F77" s="11">
        <f>+TRUNC((F75*F76),2)</f>
        <v>28.3</v>
      </c>
    </row>
    <row r="78" spans="1:7" ht="12.75">
      <c r="A78" s="1"/>
      <c r="B78" s="23">
        <f>TRUNC(13.0449*(B77-7)^1.05)</f>
        <v>1986</v>
      </c>
      <c r="C78" s="8">
        <f>TRUNC(51.39*(C77-1.5)^1.05)</f>
        <v>1521</v>
      </c>
      <c r="D78" s="8">
        <f>TRUNC(12.91*(D77-4)^1.1)</f>
        <v>1831</v>
      </c>
      <c r="E78" s="8">
        <f>TRUNC(10.14*(E77-7)^1.08)</f>
        <v>1745</v>
      </c>
      <c r="F78" s="8">
        <f>TRUNC(47.8338*(F77-1.5)^1.05)</f>
        <v>1511</v>
      </c>
      <c r="G78" s="15"/>
    </row>
    <row r="79" ht="12.75">
      <c r="B79" s="33"/>
    </row>
    <row r="89" spans="4:5" ht="12.75">
      <c r="D89" s="15"/>
      <c r="E89" s="15"/>
    </row>
    <row r="90" spans="4:5" ht="12.75">
      <c r="D90" s="15"/>
      <c r="E90" s="15"/>
    </row>
    <row r="92" ht="12.75">
      <c r="D92" s="7"/>
    </row>
    <row r="93" ht="12.75">
      <c r="D93" s="2"/>
    </row>
    <row r="94" ht="12.75">
      <c r="D94" s="11"/>
    </row>
    <row r="95" ht="12.75">
      <c r="D95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ySplit="1380" topLeftCell="A1" activePane="bottomLeft" state="split"/>
      <selection pane="topLeft" activeCell="G3" sqref="G3"/>
      <selection pane="bottomLeft" activeCell="A3" sqref="A3"/>
    </sheetView>
  </sheetViews>
  <sheetFormatPr defaultColWidth="9.140625" defaultRowHeight="12.75"/>
  <cols>
    <col min="1" max="1" width="5.00390625" style="0" customWidth="1"/>
    <col min="2" max="2" width="11.28125" style="0" customWidth="1"/>
    <col min="3" max="3" width="11.28125" style="0" bestFit="1" customWidth="1"/>
    <col min="4" max="4" width="10.7109375" style="0" customWidth="1"/>
    <col min="5" max="5" width="11.00390625" style="0" bestFit="1" customWidth="1"/>
    <col min="6" max="6" width="11.140625" style="0" bestFit="1" customWidth="1"/>
    <col min="7" max="7" width="11.00390625" style="0" bestFit="1" customWidth="1"/>
    <col min="8" max="8" width="11.140625" style="0" bestFit="1" customWidth="1"/>
    <col min="9" max="9" width="10.8515625" style="0" customWidth="1"/>
    <col min="10" max="10" width="13.421875" style="0" customWidth="1"/>
    <col min="11" max="11" width="11.7109375" style="0" customWidth="1"/>
    <col min="14" max="14" width="11.140625" style="0" customWidth="1"/>
    <col min="16" max="16" width="12.140625" style="0" customWidth="1"/>
    <col min="17" max="17" width="12.57421875" style="0" customWidth="1"/>
  </cols>
  <sheetData>
    <row r="1" ht="15.75">
      <c r="A1" s="17" t="s">
        <v>111</v>
      </c>
    </row>
    <row r="2" ht="15.75">
      <c r="A2" s="17"/>
    </row>
    <row r="3" spans="2:8" ht="12.75">
      <c r="B3" s="27" t="s">
        <v>16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</row>
    <row r="4" spans="3:8" ht="12.75">
      <c r="C4" s="2"/>
      <c r="D4" s="2"/>
      <c r="F4" s="2"/>
      <c r="H4" s="2"/>
    </row>
    <row r="5" spans="1:9" ht="12.75">
      <c r="A5" s="10">
        <v>30</v>
      </c>
      <c r="B5" s="7">
        <v>14.05</v>
      </c>
      <c r="C5" s="8">
        <v>180</v>
      </c>
      <c r="D5" s="7">
        <v>12.96</v>
      </c>
      <c r="E5" s="7">
        <v>25.34</v>
      </c>
      <c r="F5" s="8">
        <v>626</v>
      </c>
      <c r="G5" s="7">
        <v>45.52</v>
      </c>
      <c r="H5" s="7">
        <f>2*60+18.68</f>
        <v>138.68</v>
      </c>
      <c r="I5" s="2"/>
    </row>
    <row r="6" spans="1:9" ht="12.75">
      <c r="A6" s="2"/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/>
    </row>
    <row r="7" spans="1:9" ht="12.75">
      <c r="A7" s="2"/>
      <c r="B7" s="11">
        <f>+ROUNDUP((B5*B6),2)</f>
        <v>14.05</v>
      </c>
      <c r="C7" s="1">
        <f>+TRUNC((C5*C6),0)</f>
        <v>180</v>
      </c>
      <c r="D7" s="11">
        <f>+TRUNC((D5*D6),2)</f>
        <v>12.96</v>
      </c>
      <c r="E7" s="11">
        <f>+ROUNDUP((E5*E6),2)</f>
        <v>25.34</v>
      </c>
      <c r="F7" s="1">
        <f>+TRUNC((F5*F6),0)</f>
        <v>626</v>
      </c>
      <c r="G7" s="11">
        <f>+TRUNC((G5*G6),2)</f>
        <v>45.52</v>
      </c>
      <c r="H7" s="11">
        <f>+ROUNDUP((H5*H6),2)</f>
        <v>138.68</v>
      </c>
      <c r="I7" s="2"/>
    </row>
    <row r="8" spans="1:10" ht="12.75">
      <c r="A8" s="1"/>
      <c r="B8" s="8">
        <f>TRUNC(9.23076*(26.7-B7)^1.835)</f>
        <v>971</v>
      </c>
      <c r="C8" s="8">
        <f>TRUNC(1.84523*(C7-75)^1.348)</f>
        <v>978</v>
      </c>
      <c r="D8" s="8">
        <f>TRUNC(56.0211*(D7-1.5)^1.05)</f>
        <v>725</v>
      </c>
      <c r="E8" s="8">
        <f>TRUNC(4.99087*(42.5-E7)^1.81)</f>
        <v>856</v>
      </c>
      <c r="F8" s="8">
        <f>TRUNC(0.188807*(F7-210)^1.41)</f>
        <v>930</v>
      </c>
      <c r="G8" s="8">
        <f>TRUNC(15.9803*(G7-3.8)^1.04)</f>
        <v>774</v>
      </c>
      <c r="H8" s="8">
        <f>TRUNC(0.11193*(254-H7)^1.88)</f>
        <v>842</v>
      </c>
      <c r="I8" s="8">
        <f>SUM(B8:H8)</f>
        <v>6076</v>
      </c>
      <c r="J8" t="s">
        <v>91</v>
      </c>
    </row>
    <row r="9" spans="3:8" ht="12.75">
      <c r="C9" s="2"/>
      <c r="D9" s="2"/>
      <c r="F9" s="2"/>
      <c r="H9" s="2"/>
    </row>
    <row r="10" spans="1:17" ht="12.75" customHeight="1">
      <c r="A10" s="10">
        <v>35</v>
      </c>
      <c r="B10" s="7">
        <v>15.45</v>
      </c>
      <c r="C10" s="8">
        <v>150</v>
      </c>
      <c r="D10" s="7">
        <v>11.34</v>
      </c>
      <c r="E10" s="7">
        <v>27.86</v>
      </c>
      <c r="F10" s="8">
        <v>530</v>
      </c>
      <c r="G10" s="7">
        <v>33.9</v>
      </c>
      <c r="H10" s="7">
        <f>2*60+42.25</f>
        <v>162.25</v>
      </c>
      <c r="I10" s="2"/>
      <c r="J10" s="12"/>
      <c r="K10" s="7"/>
      <c r="L10" s="8"/>
      <c r="M10" s="7"/>
      <c r="N10" s="7"/>
      <c r="O10" s="8"/>
      <c r="P10" s="7"/>
      <c r="Q10" s="7"/>
    </row>
    <row r="11" spans="1:10" ht="12.75">
      <c r="A11" s="2"/>
      <c r="B11" s="2">
        <v>0.9852</v>
      </c>
      <c r="C11" s="2">
        <v>1.0512</v>
      </c>
      <c r="D11" s="2">
        <v>1.0368</v>
      </c>
      <c r="E11" s="2">
        <v>0.9702</v>
      </c>
      <c r="F11" s="2">
        <v>1.05</v>
      </c>
      <c r="G11" s="2">
        <v>1.0621</v>
      </c>
      <c r="H11" s="2">
        <v>0.9951</v>
      </c>
      <c r="I11" s="2"/>
      <c r="J11" s="13"/>
    </row>
    <row r="12" spans="1:10" ht="12.75">
      <c r="A12" s="2"/>
      <c r="B12" s="11">
        <f>+ROUNDUP((B10*B11),2)</f>
        <v>15.23</v>
      </c>
      <c r="C12" s="1">
        <f>+TRUNC((C10*C11),0)</f>
        <v>157</v>
      </c>
      <c r="D12" s="11">
        <f>+TRUNC((D10*D11),2)</f>
        <v>11.75</v>
      </c>
      <c r="E12" s="11">
        <f>+ROUNDUP((E10*E11),2)</f>
        <v>27.03</v>
      </c>
      <c r="F12" s="1">
        <f>+TRUNC((F10*F11),0)</f>
        <v>556</v>
      </c>
      <c r="G12" s="11">
        <f>+TRUNC((G10*G11),2)</f>
        <v>36</v>
      </c>
      <c r="H12" s="11">
        <f>+ROUNDUP((H10*H11),2)</f>
        <v>161.45999999999998</v>
      </c>
      <c r="I12" s="2"/>
      <c r="J12" s="14"/>
    </row>
    <row r="13" spans="1:10" ht="12.75">
      <c r="A13" s="1"/>
      <c r="B13" s="8">
        <f>TRUNC(9.23076*(26.7-B12)^1.835)</f>
        <v>811</v>
      </c>
      <c r="C13" s="8">
        <f>TRUNC(1.84523*(C12-75)^1.348)</f>
        <v>701</v>
      </c>
      <c r="D13" s="8">
        <f>TRUNC(56.0211*(D12-1.5)^1.05)</f>
        <v>645</v>
      </c>
      <c r="E13" s="8">
        <f>TRUNC(4.99087*(42.5-E12)^1.81)</f>
        <v>709</v>
      </c>
      <c r="F13" s="8">
        <f>TRUNC(0.188807*(F12-210)^1.41)</f>
        <v>717</v>
      </c>
      <c r="G13" s="8">
        <f>TRUNC(15.9803*(G12-3.8)^1.04)</f>
        <v>591</v>
      </c>
      <c r="H13" s="8">
        <f>TRUNC(0.11193*(254-H12)^1.88)</f>
        <v>556</v>
      </c>
      <c r="I13" s="8">
        <f>SUM(B13:H13)</f>
        <v>4730</v>
      </c>
      <c r="J13" s="14" t="s">
        <v>82</v>
      </c>
    </row>
    <row r="14" spans="2:9" ht="12.75">
      <c r="B14" s="16"/>
      <c r="C14" s="5"/>
      <c r="D14" s="5"/>
      <c r="E14" s="5"/>
      <c r="F14" s="5"/>
      <c r="G14" s="5"/>
      <c r="H14" s="5"/>
      <c r="I14" s="10"/>
    </row>
    <row r="15" spans="1:9" ht="12.75">
      <c r="A15" s="10">
        <v>40</v>
      </c>
      <c r="B15" s="7">
        <v>12.76</v>
      </c>
      <c r="C15" s="8">
        <v>163</v>
      </c>
      <c r="D15" s="7">
        <v>8.39</v>
      </c>
      <c r="E15" s="7">
        <v>29.01</v>
      </c>
      <c r="F15" s="8">
        <v>536</v>
      </c>
      <c r="G15" s="7">
        <v>25.78</v>
      </c>
      <c r="H15" s="7">
        <f>2*60+53.2</f>
        <v>173.2</v>
      </c>
      <c r="I15" s="2"/>
    </row>
    <row r="16" spans="1:10" ht="12.75">
      <c r="A16" s="2"/>
      <c r="B16" s="2">
        <v>1.1834</v>
      </c>
      <c r="C16" s="2">
        <v>1.1036</v>
      </c>
      <c r="D16" s="2">
        <v>1.11</v>
      </c>
      <c r="E16" s="2">
        <v>0.9342</v>
      </c>
      <c r="F16" s="2">
        <v>1.1101</v>
      </c>
      <c r="G16" s="2">
        <v>1.1475</v>
      </c>
      <c r="H16" s="2">
        <v>0.9537</v>
      </c>
      <c r="I16" s="2"/>
      <c r="J16" s="9"/>
    </row>
    <row r="17" spans="1:9" ht="12.75">
      <c r="A17" s="2"/>
      <c r="B17" s="11">
        <f>+ROUNDUP((B15*B16),2)</f>
        <v>15.11</v>
      </c>
      <c r="C17" s="1">
        <f>+TRUNC((C15*C16),0)</f>
        <v>179</v>
      </c>
      <c r="D17" s="11">
        <f>+TRUNC((D15*D16),2)</f>
        <v>9.31</v>
      </c>
      <c r="E17" s="11">
        <f>+ROUNDUP((E15*E16),2)</f>
        <v>27.110000000000003</v>
      </c>
      <c r="F17" s="1">
        <f>+TRUNC((F15*F16),0)</f>
        <v>595</v>
      </c>
      <c r="G17" s="11">
        <f>+TRUNC((G15*G16),2)</f>
        <v>29.58</v>
      </c>
      <c r="H17" s="11">
        <f>+ROUNDUP((H15*H16),2)</f>
        <v>165.19</v>
      </c>
      <c r="I17" s="2"/>
    </row>
    <row r="18" spans="1:10" ht="12.75">
      <c r="A18" s="8"/>
      <c r="B18" s="8">
        <f>TRUNC(9.23076*(26.7-B17)^1.835)</f>
        <v>827</v>
      </c>
      <c r="C18" s="8">
        <f>TRUNC(1.84523*(C17-75)^1.348)</f>
        <v>966</v>
      </c>
      <c r="D18" s="8">
        <f>TRUNC(56.0211*(D17-1.5)^1.05)</f>
        <v>484</v>
      </c>
      <c r="E18" s="8">
        <f>TRUNC(4.99087*(42.5-E17)^1.81)</f>
        <v>703</v>
      </c>
      <c r="F18" s="8">
        <f>TRUNC(0.188807*(F17-210)^1.41)</f>
        <v>834</v>
      </c>
      <c r="G18" s="8">
        <f>TRUNC(15.9803*(G17-3.8)^1.04)</f>
        <v>469</v>
      </c>
      <c r="H18" s="8">
        <f>TRUNC(0.11193*(254-H17)^1.88)</f>
        <v>515</v>
      </c>
      <c r="I18" s="8">
        <f>SUM(B18:H18)</f>
        <v>4798</v>
      </c>
      <c r="J18" t="s">
        <v>71</v>
      </c>
    </row>
    <row r="19" spans="1:9" ht="12.75">
      <c r="A19" s="6"/>
      <c r="B19" s="16"/>
      <c r="C19" s="5"/>
      <c r="D19" s="5"/>
      <c r="E19" s="5"/>
      <c r="F19" s="2"/>
      <c r="G19" s="5"/>
      <c r="H19" s="5"/>
      <c r="I19" s="10"/>
    </row>
    <row r="20" spans="1:17" ht="12.75">
      <c r="A20" s="10">
        <v>45</v>
      </c>
      <c r="B20" s="7">
        <v>13.2</v>
      </c>
      <c r="C20" s="8">
        <v>143</v>
      </c>
      <c r="D20" s="7">
        <v>9.8</v>
      </c>
      <c r="E20" s="7">
        <v>28.97</v>
      </c>
      <c r="F20" s="8">
        <v>472</v>
      </c>
      <c r="G20" s="7">
        <v>31.54</v>
      </c>
      <c r="H20" s="7">
        <f>2*60+59.16</f>
        <v>179.16</v>
      </c>
      <c r="I20" s="2"/>
      <c r="J20" s="10"/>
      <c r="K20" s="7"/>
      <c r="L20" s="8"/>
      <c r="M20" s="7"/>
      <c r="N20" s="7"/>
      <c r="O20" s="8"/>
      <c r="P20" s="7"/>
      <c r="Q20" s="7"/>
    </row>
    <row r="21" spans="1:10" ht="12.75">
      <c r="A21" s="2"/>
      <c r="B21" s="2">
        <v>1.0914</v>
      </c>
      <c r="C21" s="2">
        <v>1.1614</v>
      </c>
      <c r="D21" s="2">
        <v>1.1943</v>
      </c>
      <c r="E21" s="2">
        <v>0.8982</v>
      </c>
      <c r="F21" s="2">
        <v>1.1776</v>
      </c>
      <c r="G21" s="2">
        <v>1.2479</v>
      </c>
      <c r="H21" s="2">
        <v>0.9123</v>
      </c>
      <c r="I21" s="2"/>
      <c r="J21" s="9"/>
    </row>
    <row r="22" spans="1:9" ht="12.75">
      <c r="A22" s="2"/>
      <c r="B22" s="11">
        <f>+ROUNDUP((B20*B21),2)</f>
        <v>14.41</v>
      </c>
      <c r="C22" s="1">
        <f>+TRUNC((C20*C21),0)</f>
        <v>166</v>
      </c>
      <c r="D22" s="11">
        <f>+TRUNC((D20*D21),2)</f>
        <v>11.7</v>
      </c>
      <c r="E22" s="11">
        <f>+ROUNDUP((E20*E21),2)</f>
        <v>26.03</v>
      </c>
      <c r="F22" s="1">
        <f>+TRUNC((F20*F21),0)</f>
        <v>555</v>
      </c>
      <c r="G22" s="11">
        <f>+TRUNC((G20*G21),2)</f>
        <v>39.35</v>
      </c>
      <c r="H22" s="11">
        <f>+ROUNDUP((H20*H21),2)</f>
        <v>163.45</v>
      </c>
      <c r="I22" s="2"/>
    </row>
    <row r="23" spans="1:10" ht="12.75">
      <c r="A23" s="1"/>
      <c r="B23" s="8">
        <f>TRUNC(9.23076*(26.7-B22)^1.835)</f>
        <v>921</v>
      </c>
      <c r="C23" s="8">
        <f>TRUNC(1.84523*(C22-75)^1.348)</f>
        <v>806</v>
      </c>
      <c r="D23" s="8">
        <f>TRUNC(56.0211*(D22-1.5)^1.05)</f>
        <v>641</v>
      </c>
      <c r="E23" s="8">
        <f>TRUNC(4.99087*(42.5-E22)^1.81)</f>
        <v>795</v>
      </c>
      <c r="F23" s="8">
        <f>TRUNC(0.188807*(F22-210)^1.41)</f>
        <v>715</v>
      </c>
      <c r="G23" s="8">
        <f>TRUNC(15.9803*(G22-3.8)^1.04)</f>
        <v>655</v>
      </c>
      <c r="H23" s="8">
        <f>TRUNC(0.11193*(254-H22)^1.88)</f>
        <v>534</v>
      </c>
      <c r="I23" s="8">
        <f>SUM(B23:H23)</f>
        <v>5067</v>
      </c>
      <c r="J23" s="42" t="s">
        <v>86</v>
      </c>
    </row>
    <row r="24" spans="2:9" ht="12.75">
      <c r="B24" s="16"/>
      <c r="C24" s="3"/>
      <c r="D24" s="3"/>
      <c r="E24" s="3"/>
      <c r="F24" s="3"/>
      <c r="G24" s="3"/>
      <c r="H24" s="3"/>
      <c r="I24" s="2"/>
    </row>
    <row r="25" spans="1:17" ht="12.75">
      <c r="A25" s="10">
        <v>50</v>
      </c>
      <c r="B25" s="7">
        <v>14.99</v>
      </c>
      <c r="C25" s="8">
        <v>115</v>
      </c>
      <c r="D25" s="7">
        <v>7.92</v>
      </c>
      <c r="E25" s="7">
        <v>30.88</v>
      </c>
      <c r="F25" s="8">
        <v>378</v>
      </c>
      <c r="G25" s="7">
        <v>23.97</v>
      </c>
      <c r="H25" s="7">
        <f>2*60+44.1</f>
        <v>164.1</v>
      </c>
      <c r="J25" s="10"/>
      <c r="K25" s="7"/>
      <c r="L25" s="8"/>
      <c r="M25" s="7"/>
      <c r="N25" s="7"/>
      <c r="O25" s="8"/>
      <c r="P25" s="7"/>
      <c r="Q25" s="7"/>
    </row>
    <row r="26" spans="1:10" ht="12.75">
      <c r="A26" s="2"/>
      <c r="B26" s="2">
        <v>1.0964</v>
      </c>
      <c r="C26" s="2">
        <v>1.2256</v>
      </c>
      <c r="D26" s="2">
        <v>1.2607</v>
      </c>
      <c r="E26" s="2">
        <v>0.8622</v>
      </c>
      <c r="F26" s="2">
        <v>1.2538</v>
      </c>
      <c r="G26" s="2">
        <v>1.3147</v>
      </c>
      <c r="H26" s="2">
        <v>0.8709</v>
      </c>
      <c r="I26" s="2"/>
      <c r="J26" s="9"/>
    </row>
    <row r="27" spans="1:9" ht="12.75">
      <c r="A27" s="2"/>
      <c r="B27" s="11">
        <f>+ROUNDUP((B25*B26),2)</f>
        <v>16.44</v>
      </c>
      <c r="C27" s="1">
        <f>+TRUNC((C25*C26),0)</f>
        <v>140</v>
      </c>
      <c r="D27" s="11">
        <f>+TRUNC((D25*D26),2)</f>
        <v>9.98</v>
      </c>
      <c r="E27" s="11">
        <f>+ROUNDUP((E25*E26),2)</f>
        <v>26.630000000000003</v>
      </c>
      <c r="F27" s="1">
        <f>+TRUNC((F25*F26),0)</f>
        <v>473</v>
      </c>
      <c r="G27" s="11">
        <f>+TRUNC((G25*G26),2)</f>
        <v>31.51</v>
      </c>
      <c r="H27" s="11">
        <f>+ROUNDUP((H25*H26),2)</f>
        <v>142.92</v>
      </c>
      <c r="I27" s="2"/>
    </row>
    <row r="28" spans="1:10" ht="12.75">
      <c r="A28" s="1"/>
      <c r="B28" s="8">
        <f>TRUNC(9.23076*(26.7-B27)^1.835)</f>
        <v>661</v>
      </c>
      <c r="C28" s="8">
        <f>TRUNC(1.84523*(C27-75)^1.348)</f>
        <v>512</v>
      </c>
      <c r="D28" s="8">
        <f>TRUNC(56.0211*(D27-1.5)^1.05)</f>
        <v>528</v>
      </c>
      <c r="E28" s="8">
        <f>TRUNC(4.99087*(42.5-E27)^1.81)</f>
        <v>743</v>
      </c>
      <c r="F28" s="8">
        <f>TRUNC(0.188807*(F27-210)^1.41)</f>
        <v>487</v>
      </c>
      <c r="G28" s="8">
        <f>TRUNC(15.9803*(G27-3.8)^1.04)</f>
        <v>505</v>
      </c>
      <c r="H28" s="8">
        <f>TRUNC(0.11193*(254-H27)^1.88)</f>
        <v>784</v>
      </c>
      <c r="I28" s="8">
        <f>SUM(B28:H28)</f>
        <v>4220</v>
      </c>
      <c r="J28" t="s">
        <v>44</v>
      </c>
    </row>
    <row r="29" spans="2:9" ht="12.75">
      <c r="B29" s="16"/>
      <c r="C29" s="3"/>
      <c r="D29" s="3"/>
      <c r="E29" s="3"/>
      <c r="F29" s="3"/>
      <c r="G29" s="3"/>
      <c r="H29" s="3"/>
      <c r="I29" s="10"/>
    </row>
    <row r="30" spans="1:16" ht="12.75">
      <c r="A30" s="10">
        <v>55</v>
      </c>
      <c r="B30" s="7">
        <v>14.48</v>
      </c>
      <c r="C30" s="8">
        <v>129</v>
      </c>
      <c r="D30" s="7">
        <v>8.07</v>
      </c>
      <c r="E30" s="7">
        <v>29.94</v>
      </c>
      <c r="F30" s="8">
        <v>418</v>
      </c>
      <c r="G30" s="7">
        <v>17.18</v>
      </c>
      <c r="H30" s="7">
        <f>2*60+51.33</f>
        <v>171.32999999999998</v>
      </c>
      <c r="I30" s="10"/>
      <c r="J30" s="7"/>
      <c r="K30" s="8"/>
      <c r="L30" s="7"/>
      <c r="M30" s="7"/>
      <c r="N30" s="8"/>
      <c r="O30" s="7"/>
      <c r="P30" s="7"/>
    </row>
    <row r="31" spans="1:10" ht="12.75">
      <c r="A31" s="2"/>
      <c r="B31" s="2">
        <v>1.0044</v>
      </c>
      <c r="C31" s="2">
        <v>1.2973</v>
      </c>
      <c r="D31" s="2">
        <v>1.3706</v>
      </c>
      <c r="E31" s="2">
        <v>0.8262</v>
      </c>
      <c r="F31" s="2">
        <v>1.3405</v>
      </c>
      <c r="G31" s="2">
        <v>1.4482</v>
      </c>
      <c r="H31" s="2">
        <v>0.8295</v>
      </c>
      <c r="I31" s="10"/>
      <c r="J31" s="9"/>
    </row>
    <row r="32" spans="1:9" ht="12.75">
      <c r="A32" s="2"/>
      <c r="B32" s="11">
        <f>+ROUNDUP((B30*B31),2)</f>
        <v>14.549999999999999</v>
      </c>
      <c r="C32" s="1">
        <f>+TRUNC((C30*C31),0)</f>
        <v>167</v>
      </c>
      <c r="D32" s="11">
        <f>+TRUNC((D30*D31),2)</f>
        <v>11.06</v>
      </c>
      <c r="E32" s="11">
        <f>+ROUNDUP((E30*E31),2)</f>
        <v>24.740000000000002</v>
      </c>
      <c r="F32" s="1">
        <f>+TRUNC((F30*F31),0)</f>
        <v>560</v>
      </c>
      <c r="G32" s="11">
        <f>+TRUNC((G30*G31),2)</f>
        <v>24.88</v>
      </c>
      <c r="H32" s="11">
        <f>+ROUNDUP((H30*H31),2)</f>
        <v>142.12</v>
      </c>
      <c r="I32" s="10"/>
    </row>
    <row r="33" spans="1:10" ht="12.75">
      <c r="A33" s="1"/>
      <c r="B33" s="8">
        <f>TRUNC(9.23076*(26.7-B32)^1.835)</f>
        <v>902</v>
      </c>
      <c r="C33" s="8">
        <f>TRUNC(1.84523*(C32-75)^1.348)</f>
        <v>818</v>
      </c>
      <c r="D33" s="8">
        <f>TRUNC(56.0211*(D32-1.5)^1.05)</f>
        <v>599</v>
      </c>
      <c r="E33" s="8">
        <f>TRUNC(4.99087*(42.5-E32)^1.81)</f>
        <v>911</v>
      </c>
      <c r="F33" s="8">
        <f>TRUNC(0.188807*(F32-210)^1.41)</f>
        <v>729</v>
      </c>
      <c r="G33" s="8">
        <f>TRUNC(15.9803*(G32-3.8)^1.04)</f>
        <v>380</v>
      </c>
      <c r="H33" s="8">
        <f>TRUNC(0.11193*(254-H32)^1.88)</f>
        <v>795</v>
      </c>
      <c r="I33" s="8">
        <f>SUM(B33:H33)</f>
        <v>5134</v>
      </c>
      <c r="J33" t="s">
        <v>47</v>
      </c>
    </row>
    <row r="34" spans="1:9" ht="12.75">
      <c r="A34" t="s">
        <v>0</v>
      </c>
      <c r="B34" s="16"/>
      <c r="C34" s="2"/>
      <c r="D34" s="2"/>
      <c r="E34" s="2"/>
      <c r="F34" s="2"/>
      <c r="G34" s="2"/>
      <c r="H34" s="2"/>
      <c r="I34" s="10"/>
    </row>
    <row r="35" spans="1:17" ht="12.75">
      <c r="A35" s="10">
        <v>60</v>
      </c>
      <c r="B35" s="7">
        <v>14.39</v>
      </c>
      <c r="C35" s="8">
        <v>125</v>
      </c>
      <c r="D35" s="7">
        <v>8.07</v>
      </c>
      <c r="E35" s="7">
        <v>31.95</v>
      </c>
      <c r="F35" s="8">
        <v>413</v>
      </c>
      <c r="G35" s="7">
        <v>19.65</v>
      </c>
      <c r="H35" s="7">
        <f>3*60+1.67</f>
        <v>181.67</v>
      </c>
      <c r="I35" s="10"/>
      <c r="J35" s="2"/>
      <c r="K35" s="7"/>
      <c r="L35" s="8"/>
      <c r="M35" s="7"/>
      <c r="N35" s="7"/>
      <c r="O35" s="8"/>
      <c r="P35" s="7"/>
      <c r="Q35" s="7"/>
    </row>
    <row r="36" spans="1:10" ht="12.75">
      <c r="A36" s="2"/>
      <c r="B36" s="21">
        <v>0.9924</v>
      </c>
      <c r="C36" s="2">
        <v>1.3779</v>
      </c>
      <c r="D36" s="2">
        <v>1.5015</v>
      </c>
      <c r="E36" s="2">
        <v>0.7902</v>
      </c>
      <c r="F36" s="2">
        <v>1.44</v>
      </c>
      <c r="G36" s="57">
        <v>1.6118</v>
      </c>
      <c r="H36" s="2">
        <v>0.7848</v>
      </c>
      <c r="I36" s="10"/>
      <c r="J36" s="9"/>
    </row>
    <row r="37" spans="1:9" ht="12.75">
      <c r="A37" s="2"/>
      <c r="B37" s="11">
        <f>+ROUNDUP((B35*B36),2)</f>
        <v>14.29</v>
      </c>
      <c r="C37" s="1">
        <f>+TRUNC((C35*C36),0)</f>
        <v>172</v>
      </c>
      <c r="D37" s="11">
        <f>+TRUNC((D35*D36),2)</f>
        <v>12.11</v>
      </c>
      <c r="E37" s="11">
        <f>+ROUNDUP((E35*E36),2)</f>
        <v>25.25</v>
      </c>
      <c r="F37" s="1">
        <f>+TRUNC((F35*F36),0)</f>
        <v>594</v>
      </c>
      <c r="G37" s="11">
        <f>+TRUNC((G35*G36),2)</f>
        <v>31.67</v>
      </c>
      <c r="H37" s="11">
        <f>+ROUNDUP((H35*H36),2)</f>
        <v>142.57999999999998</v>
      </c>
      <c r="I37" s="10"/>
    </row>
    <row r="38" spans="1:11" ht="12.75">
      <c r="A38" s="1"/>
      <c r="B38" s="8">
        <f>TRUNC(9.23076*(26.7-B37)^1.835)</f>
        <v>938</v>
      </c>
      <c r="C38" s="8">
        <f>TRUNC(1.84523*(C37-75)^1.348)</f>
        <v>879</v>
      </c>
      <c r="D38" s="8">
        <f>TRUNC(56.0211*(D37-1.5)^1.05)</f>
        <v>668</v>
      </c>
      <c r="E38" s="8">
        <f>TRUNC(4.99087*(42.5-E37)^1.81)</f>
        <v>864</v>
      </c>
      <c r="F38" s="8">
        <f>TRUNC(0.188807*(F37-210)^1.41)</f>
        <v>831</v>
      </c>
      <c r="G38" s="8">
        <f>TRUNC(15.9803*(G37-3.8)^1.04)</f>
        <v>508</v>
      </c>
      <c r="H38" s="8">
        <f>TRUNC(0.11193*(254-H37)^1.88)</f>
        <v>789</v>
      </c>
      <c r="I38" s="62">
        <f>SUM(B38:H38)</f>
        <v>5477</v>
      </c>
      <c r="J38" t="s">
        <v>47</v>
      </c>
      <c r="K38" s="54" t="s">
        <v>112</v>
      </c>
    </row>
    <row r="39" spans="2:9" ht="12.75">
      <c r="B39" s="16"/>
      <c r="C39" s="3"/>
      <c r="D39" s="3"/>
      <c r="E39" s="3"/>
      <c r="F39" s="3"/>
      <c r="G39" s="3"/>
      <c r="H39" s="3"/>
      <c r="I39" s="10"/>
    </row>
    <row r="40" spans="1:17" ht="12.75">
      <c r="A40" s="10">
        <v>65</v>
      </c>
      <c r="B40" s="7">
        <v>15.16</v>
      </c>
      <c r="C40" s="8">
        <v>121</v>
      </c>
      <c r="D40" s="7">
        <v>7.84</v>
      </c>
      <c r="E40" s="55" t="s">
        <v>101</v>
      </c>
      <c r="F40" s="8">
        <v>377</v>
      </c>
      <c r="G40" s="7">
        <v>14.76</v>
      </c>
      <c r="H40" s="7">
        <f>3*60+10.72</f>
        <v>190.72</v>
      </c>
      <c r="I40" s="10"/>
      <c r="J40" s="2"/>
      <c r="K40" s="7"/>
      <c r="L40" s="8"/>
      <c r="M40" s="7"/>
      <c r="N40" s="7"/>
      <c r="O40" s="8"/>
      <c r="P40" s="7"/>
      <c r="Q40" s="7"/>
    </row>
    <row r="41" spans="1:17" ht="12.75">
      <c r="A41" s="2"/>
      <c r="B41" s="2">
        <v>0.9004</v>
      </c>
      <c r="C41" s="2">
        <v>1.4708</v>
      </c>
      <c r="D41" s="2">
        <v>1.66</v>
      </c>
      <c r="E41" s="2">
        <v>0.7542</v>
      </c>
      <c r="F41" s="2">
        <v>1.5557</v>
      </c>
      <c r="G41" s="57">
        <v>1.8171</v>
      </c>
      <c r="H41" s="2">
        <v>0.7342</v>
      </c>
      <c r="I41" s="10"/>
      <c r="J41" s="9"/>
      <c r="K41" s="50"/>
      <c r="L41" s="49"/>
      <c r="M41" s="51"/>
      <c r="N41" s="49"/>
      <c r="O41" s="49"/>
      <c r="P41" s="48"/>
      <c r="Q41" s="48"/>
    </row>
    <row r="42" spans="1:9" ht="12.75">
      <c r="A42" s="2"/>
      <c r="B42" s="11">
        <f>+ROUNDUP((B40*B41),2)</f>
        <v>13.66</v>
      </c>
      <c r="C42" s="1">
        <f>+TRUNC((C40*C41),0)</f>
        <v>177</v>
      </c>
      <c r="D42" s="11">
        <f>+TRUNC((D40*D41),2)</f>
        <v>13.01</v>
      </c>
      <c r="E42" s="11">
        <f>+ROUNDUP((E40*E41),2)</f>
        <v>24.12</v>
      </c>
      <c r="F42" s="1">
        <f>+TRUNC((F40*F41),0)</f>
        <v>586</v>
      </c>
      <c r="G42" s="11">
        <f>+TRUNC((G40*G41),2)</f>
        <v>26.82</v>
      </c>
      <c r="H42" s="11">
        <f>+ROUNDUP((H40*H41),2)</f>
        <v>140.03</v>
      </c>
      <c r="I42" s="10"/>
    </row>
    <row r="43" spans="1:12" ht="12.75">
      <c r="A43" s="1"/>
      <c r="B43" s="8">
        <f>TRUNC(9.23076*(26.7-B42)^1.835)</f>
        <v>1027</v>
      </c>
      <c r="C43" s="8">
        <f>TRUNC(1.84523*(C42-75)^1.348)</f>
        <v>941</v>
      </c>
      <c r="D43" s="8">
        <f>TRUNC(56.0211*(D42-1.5)^1.05)</f>
        <v>728</v>
      </c>
      <c r="E43" s="8">
        <f>TRUNC(4.99087*(42.5-E42)^1.81)</f>
        <v>969</v>
      </c>
      <c r="F43" s="8">
        <f>TRUNC(0.188807*(F42-210)^1.41)</f>
        <v>807</v>
      </c>
      <c r="G43" s="8">
        <f>TRUNC(15.9803*(G42-3.8)^1.04)</f>
        <v>417</v>
      </c>
      <c r="H43" s="8">
        <f>TRUNC(0.11193*(254-H42)^1.88)</f>
        <v>823</v>
      </c>
      <c r="I43" s="62">
        <f>SUM(B43:H43)</f>
        <v>5712</v>
      </c>
      <c r="J43" t="s">
        <v>47</v>
      </c>
      <c r="K43" s="54" t="s">
        <v>113</v>
      </c>
      <c r="L43" s="47"/>
    </row>
    <row r="44" spans="2:8" ht="12.75">
      <c r="B44" s="16"/>
      <c r="C44" s="2"/>
      <c r="D44" s="2"/>
      <c r="F44" s="2"/>
      <c r="H44" s="2"/>
    </row>
    <row r="45" spans="1:17" ht="12.75">
      <c r="A45" s="10">
        <v>70</v>
      </c>
      <c r="B45" s="7">
        <v>18.48</v>
      </c>
      <c r="C45" s="8">
        <v>109</v>
      </c>
      <c r="D45" s="7">
        <v>8.27</v>
      </c>
      <c r="E45" s="7">
        <v>37.57</v>
      </c>
      <c r="F45" s="8">
        <v>313</v>
      </c>
      <c r="G45" s="7">
        <v>20.47</v>
      </c>
      <c r="H45" s="7">
        <f>4*60+22.98</f>
        <v>262.98</v>
      </c>
      <c r="J45" s="7"/>
      <c r="K45" s="7"/>
      <c r="L45" s="8"/>
      <c r="M45" s="7"/>
      <c r="N45" s="7"/>
      <c r="O45" s="8"/>
      <c r="P45" s="7"/>
      <c r="Q45" s="7"/>
    </row>
    <row r="46" spans="1:8" ht="12.75">
      <c r="A46" s="2"/>
      <c r="B46" s="2">
        <v>0.8084</v>
      </c>
      <c r="C46" s="2">
        <v>1.5795</v>
      </c>
      <c r="D46" s="2">
        <v>1.8559</v>
      </c>
      <c r="E46" s="2">
        <v>0.7068</v>
      </c>
      <c r="F46" s="2">
        <v>1.6943</v>
      </c>
      <c r="G46" s="57">
        <v>2.0992</v>
      </c>
      <c r="H46" s="2">
        <v>0.6752</v>
      </c>
    </row>
    <row r="47" spans="1:8" ht="12.75">
      <c r="A47" s="2"/>
      <c r="B47" s="11">
        <f>+ROUNDUP((B45*B46),2)</f>
        <v>14.94</v>
      </c>
      <c r="C47" s="1">
        <f>+TRUNC((C45*C46),0)</f>
        <v>172</v>
      </c>
      <c r="D47" s="11">
        <f>+TRUNC((D45*D46),2)</f>
        <v>15.34</v>
      </c>
      <c r="E47" s="11">
        <f>+ROUNDUP((E45*E46),2)</f>
        <v>26.560000000000002</v>
      </c>
      <c r="F47" s="1">
        <f>+TRUNC((F45*F46),0)</f>
        <v>530</v>
      </c>
      <c r="G47" s="11">
        <f>+TRUNC((G45*G46),2)</f>
        <v>42.97</v>
      </c>
      <c r="H47" s="11">
        <f>+ROUNDUP((H45*H46),2)</f>
        <v>177.57</v>
      </c>
    </row>
    <row r="48" spans="1:11" ht="12.75">
      <c r="A48" s="1"/>
      <c r="B48" s="8">
        <f>TRUNC(9.23076*(26.7-B47)^1.835)</f>
        <v>850</v>
      </c>
      <c r="C48" s="8">
        <f>TRUNC(1.84523*(C47-75)^1.348)</f>
        <v>879</v>
      </c>
      <c r="D48" s="8">
        <f>TRUNC(56.0211*(D47-1.5)^1.05)</f>
        <v>884</v>
      </c>
      <c r="E48" s="8">
        <f>TRUNC(4.99087*(42.5-E47)^1.81)</f>
        <v>749</v>
      </c>
      <c r="F48" s="8">
        <f>TRUNC(0.188807*(F47-210)^1.41)</f>
        <v>643</v>
      </c>
      <c r="G48" s="8">
        <f>TRUNC(15.9803*(G47-3.8)^1.04)</f>
        <v>724</v>
      </c>
      <c r="H48" s="8">
        <f>TRUNC(0.11193*(254-H47)^1.88)</f>
        <v>388</v>
      </c>
      <c r="I48" s="62">
        <f>SUM(B48:H48)</f>
        <v>5117</v>
      </c>
      <c r="J48" t="s">
        <v>102</v>
      </c>
      <c r="K48" s="63">
        <v>5065</v>
      </c>
    </row>
    <row r="49" spans="2:8" ht="12.75">
      <c r="B49" s="16"/>
      <c r="C49" s="2"/>
      <c r="D49" s="2"/>
      <c r="F49" s="2"/>
      <c r="H49" s="2"/>
    </row>
    <row r="50" spans="1:8" ht="12.75">
      <c r="A50" s="10">
        <v>75</v>
      </c>
      <c r="B50" s="7">
        <v>37.2</v>
      </c>
      <c r="C50" s="8">
        <v>82</v>
      </c>
      <c r="D50" s="7">
        <v>3.71</v>
      </c>
      <c r="E50" s="7">
        <v>62.23</v>
      </c>
      <c r="F50" s="8">
        <v>157</v>
      </c>
      <c r="G50" s="7">
        <v>6.88</v>
      </c>
      <c r="H50" s="7">
        <v>415</v>
      </c>
    </row>
    <row r="51" spans="1:8" ht="12.75">
      <c r="A51" s="2"/>
      <c r="B51" s="2">
        <v>0.7114</v>
      </c>
      <c r="C51" s="2">
        <v>1.7094</v>
      </c>
      <c r="D51" s="2">
        <v>1.8324</v>
      </c>
      <c r="E51" s="2">
        <v>0.6545</v>
      </c>
      <c r="F51" s="2">
        <v>1.8695</v>
      </c>
      <c r="G51" s="2">
        <v>2.2794</v>
      </c>
      <c r="H51" s="2">
        <v>0.6053</v>
      </c>
    </row>
    <row r="52" spans="1:8" ht="12.75">
      <c r="A52" s="2"/>
      <c r="B52" s="11">
        <f>+ROUNDUP((B50*B51),2)</f>
        <v>26.470000000000002</v>
      </c>
      <c r="C52" s="1">
        <f>+TRUNC((C50*C51),0)</f>
        <v>140</v>
      </c>
      <c r="D52" s="11">
        <f>+TRUNC((D50*D51),2)</f>
        <v>6.79</v>
      </c>
      <c r="E52" s="11">
        <f>+ROUNDUP((E50*E51),2)</f>
        <v>40.73</v>
      </c>
      <c r="F52" s="1">
        <f>+TRUNC((F50*F51),0)</f>
        <v>293</v>
      </c>
      <c r="G52" s="11">
        <f>+TRUNC((G50*G51),2)</f>
        <v>15.68</v>
      </c>
      <c r="H52" s="11">
        <f>+ROUNDUP((H50*H51),2)</f>
        <v>251.2</v>
      </c>
    </row>
    <row r="53" spans="1:10" ht="12.75">
      <c r="A53" s="1"/>
      <c r="B53" s="8">
        <f>TRUNC(9.23076*(26.7-B52)^1.835)</f>
        <v>0</v>
      </c>
      <c r="C53" s="8">
        <f>TRUNC(1.84523*(C52-75)^1.348)</f>
        <v>512</v>
      </c>
      <c r="D53" s="8">
        <f>TRUNC(56.0211*(D52-1.5)^1.05)</f>
        <v>322</v>
      </c>
      <c r="E53" s="8">
        <f>TRUNC(4.99087*(42.5-E52)^1.81)</f>
        <v>14</v>
      </c>
      <c r="F53" s="8">
        <f>TRUNC(0.188807*(F52-210)^1.41)</f>
        <v>95</v>
      </c>
      <c r="G53" s="8">
        <f>TRUNC(15.9803*(G52-3.8)^1.04)</f>
        <v>209</v>
      </c>
      <c r="H53" s="8">
        <f>TRUNC(0.11193*(254-H52)^1.88)</f>
        <v>0</v>
      </c>
      <c r="I53" s="8">
        <f>SUM(B53:H53)</f>
        <v>1152</v>
      </c>
      <c r="J53" s="15" t="s">
        <v>72</v>
      </c>
    </row>
    <row r="54" spans="2:8" ht="12.75">
      <c r="B54" s="16"/>
      <c r="C54" s="2"/>
      <c r="D54" s="2"/>
      <c r="F54" s="2"/>
      <c r="H54" s="2"/>
    </row>
    <row r="55" spans="1:8" ht="12.75">
      <c r="A55" s="10">
        <v>80</v>
      </c>
      <c r="B55" s="7">
        <v>37.2</v>
      </c>
      <c r="C55" s="8">
        <v>82</v>
      </c>
      <c r="D55" s="7">
        <v>3.71</v>
      </c>
      <c r="E55" s="7">
        <v>62.23</v>
      </c>
      <c r="F55" s="8">
        <v>157</v>
      </c>
      <c r="G55" s="7">
        <v>6.88</v>
      </c>
      <c r="H55" s="7">
        <v>415</v>
      </c>
    </row>
    <row r="56" spans="1:8" ht="12.75">
      <c r="A56" s="2"/>
      <c r="B56" s="2">
        <v>0.5946</v>
      </c>
      <c r="C56" s="2">
        <v>1.8681</v>
      </c>
      <c r="D56" s="2">
        <v>2.0742</v>
      </c>
      <c r="E56" s="2">
        <v>0.5857</v>
      </c>
      <c r="F56" s="2">
        <v>2.1645</v>
      </c>
      <c r="G56" s="2">
        <v>2.7129</v>
      </c>
      <c r="H56" s="2">
        <v>0.522</v>
      </c>
    </row>
    <row r="57" spans="1:8" ht="12.75">
      <c r="A57" s="2"/>
      <c r="B57" s="11">
        <f>+ROUNDUP((B55*B56),2)</f>
        <v>22.12</v>
      </c>
      <c r="C57" s="1">
        <f>+TRUNC((C55*C56),0)</f>
        <v>153</v>
      </c>
      <c r="D57" s="11">
        <f>+TRUNC((D55*D56),2)</f>
        <v>7.69</v>
      </c>
      <c r="E57" s="11">
        <f>+ROUNDUP((E55*E56),2)</f>
        <v>36.449999999999996</v>
      </c>
      <c r="F57" s="1">
        <f>+TRUNC((F55*F56),0)</f>
        <v>339</v>
      </c>
      <c r="G57" s="11">
        <f>+TRUNC((G55*G56),2)</f>
        <v>18.66</v>
      </c>
      <c r="H57" s="11">
        <f>+ROUNDUP((H55*H56),2)</f>
        <v>216.63</v>
      </c>
    </row>
    <row r="58" spans="1:9" ht="12.75">
      <c r="A58" s="1"/>
      <c r="B58" s="8">
        <f>TRUNC(9.23076*(26.7-B57)^1.835)</f>
        <v>150</v>
      </c>
      <c r="C58" s="8">
        <f>TRUNC(1.84523*(C57-75)^1.348)</f>
        <v>655</v>
      </c>
      <c r="D58" s="8">
        <f>TRUNC(56.0211*(D57-1.5)^1.05)</f>
        <v>379</v>
      </c>
      <c r="E58" s="8">
        <f>TRUNC(4.99087*(42.5-E57)^1.81)</f>
        <v>129</v>
      </c>
      <c r="F58" s="8">
        <f>TRUNC(0.188807*(F57-210)^1.41)</f>
        <v>178</v>
      </c>
      <c r="G58" s="8">
        <f>TRUNC(15.9803*(G57-3.8)^1.04)</f>
        <v>264</v>
      </c>
      <c r="H58" s="8">
        <f>TRUNC(0.11193*(254-H57)^1.88)</f>
        <v>101</v>
      </c>
      <c r="I58" s="8">
        <f>SUM(B58:H58)</f>
        <v>1856</v>
      </c>
    </row>
    <row r="59" spans="2:8" ht="12.75">
      <c r="B59" s="16"/>
      <c r="C59" s="2"/>
      <c r="D59" s="2"/>
      <c r="F59" s="2"/>
      <c r="H59" s="2"/>
    </row>
    <row r="60" spans="1:8" ht="12.75">
      <c r="A60" s="10">
        <v>85</v>
      </c>
      <c r="B60" s="7">
        <v>37.2</v>
      </c>
      <c r="C60" s="8">
        <v>82</v>
      </c>
      <c r="D60" s="7">
        <v>3.71</v>
      </c>
      <c r="E60" s="7">
        <v>62.23</v>
      </c>
      <c r="F60" s="8">
        <v>157</v>
      </c>
      <c r="G60" s="7">
        <v>6.88</v>
      </c>
      <c r="H60" s="7">
        <v>415</v>
      </c>
    </row>
    <row r="61" spans="1:8" ht="12.75">
      <c r="A61" s="2"/>
      <c r="B61" s="2">
        <v>0.4391</v>
      </c>
      <c r="C61" s="2">
        <v>2.0673</v>
      </c>
      <c r="D61" s="2">
        <v>2.3894</v>
      </c>
      <c r="E61" s="2">
        <v>0.4932</v>
      </c>
      <c r="F61" s="2">
        <v>2.9154</v>
      </c>
      <c r="G61" s="2">
        <v>3.35</v>
      </c>
      <c r="H61" s="2">
        <v>0.4228</v>
      </c>
    </row>
    <row r="62" spans="1:8" ht="12.75">
      <c r="A62" s="2"/>
      <c r="B62" s="11">
        <f>+ROUNDUP((B60*B61),2)</f>
        <v>16.34</v>
      </c>
      <c r="C62" s="1">
        <f>+TRUNC((C60*C61),0)</f>
        <v>169</v>
      </c>
      <c r="D62" s="11">
        <f>+TRUNC((D60*D61),2)</f>
        <v>8.86</v>
      </c>
      <c r="E62" s="11">
        <f>+ROUNDUP((E60*E61),2)</f>
        <v>30.700000000000003</v>
      </c>
      <c r="F62" s="1">
        <f>+TRUNC((F60*F61),0)</f>
        <v>457</v>
      </c>
      <c r="G62" s="11">
        <f>+TRUNC((G60*G61),2)</f>
        <v>23.04</v>
      </c>
      <c r="H62" s="11">
        <f>+ROUNDUP((H60*H61),2)</f>
        <v>175.47</v>
      </c>
    </row>
    <row r="63" spans="1:9" ht="12.75">
      <c r="A63" s="1"/>
      <c r="B63" s="8">
        <f>TRUNC(9.23076*(26.7-B62)^1.835)</f>
        <v>673</v>
      </c>
      <c r="C63" s="8">
        <f>TRUNC(1.84523*(C62-75)^1.348)</f>
        <v>842</v>
      </c>
      <c r="D63" s="8">
        <f>TRUNC(56.0211*(D62-1.5)^1.05)</f>
        <v>455</v>
      </c>
      <c r="E63" s="8">
        <f>TRUNC(4.99087*(42.5-E62)^1.81)</f>
        <v>434</v>
      </c>
      <c r="F63" s="8">
        <f>TRUNC(0.188807*(F62-210)^1.41)</f>
        <v>446</v>
      </c>
      <c r="G63" s="8">
        <f>TRUNC(15.9803*(G62-3.8)^1.04)</f>
        <v>346</v>
      </c>
      <c r="H63" s="8">
        <f>TRUNC(0.11193*(254-H62)^1.88)</f>
        <v>408</v>
      </c>
      <c r="I63" s="8">
        <f>SUM(B63:H63)</f>
        <v>3604</v>
      </c>
    </row>
    <row r="64" spans="2:8" ht="12.75">
      <c r="B64" s="16"/>
      <c r="C64" s="2"/>
      <c r="D64" s="2"/>
      <c r="F64" s="2"/>
      <c r="H64" s="2"/>
    </row>
    <row r="65" spans="1:8" ht="12.75">
      <c r="A65" s="10">
        <v>90</v>
      </c>
      <c r="B65" s="7">
        <v>37.2</v>
      </c>
      <c r="C65" s="8">
        <v>82</v>
      </c>
      <c r="D65" s="7">
        <v>3.71</v>
      </c>
      <c r="E65" s="7">
        <v>62.23</v>
      </c>
      <c r="F65" s="8">
        <v>157</v>
      </c>
      <c r="G65" s="7">
        <v>6.88</v>
      </c>
      <c r="H65" s="7">
        <v>415</v>
      </c>
    </row>
    <row r="66" spans="1:8" ht="12.75">
      <c r="A66" s="2"/>
      <c r="B66" s="21">
        <v>0.2209</v>
      </c>
      <c r="C66" s="2">
        <v>2.3261</v>
      </c>
      <c r="D66" s="2">
        <v>2.8176</v>
      </c>
      <c r="E66" s="2">
        <v>0.36</v>
      </c>
      <c r="F66" s="57">
        <v>3.2696</v>
      </c>
      <c r="G66" s="2">
        <v>4.3782</v>
      </c>
      <c r="H66" s="2">
        <v>0.3052</v>
      </c>
    </row>
    <row r="67" spans="1:8" ht="12.75">
      <c r="A67" s="2"/>
      <c r="B67" s="11">
        <f>+ROUNDUP((B65*B66),2)</f>
        <v>8.22</v>
      </c>
      <c r="C67" s="1">
        <f>+TRUNC((C65*C66),0)</f>
        <v>190</v>
      </c>
      <c r="D67" s="11">
        <f>+TRUNC((D65*D66),2)</f>
        <v>10.45</v>
      </c>
      <c r="E67" s="11">
        <f>+ROUNDUP((E65*E66),2)</f>
        <v>22.41</v>
      </c>
      <c r="F67" s="1">
        <f>+TRUNC((F65*F66),0)</f>
        <v>513</v>
      </c>
      <c r="G67" s="11">
        <f>+TRUNC((G65*G66),2)</f>
        <v>30.12</v>
      </c>
      <c r="H67" s="11">
        <f>+ROUNDUP((H65*H66),2)</f>
        <v>126.66000000000001</v>
      </c>
    </row>
    <row r="68" spans="1:9" ht="12.75">
      <c r="A68" s="1"/>
      <c r="B68" s="8">
        <f>TRUNC(9.23076*(26.7-B67)^1.835)</f>
        <v>1948</v>
      </c>
      <c r="C68" s="8">
        <f>TRUNC(1.84523*(C67-75)^1.348)</f>
        <v>1106</v>
      </c>
      <c r="D68" s="8">
        <f>TRUNC(56.0211*(D67-1.5)^1.05)</f>
        <v>559</v>
      </c>
      <c r="E68" s="8">
        <f>TRUNC(4.99087*(42.5-E67)^1.81)</f>
        <v>1139</v>
      </c>
      <c r="F68" s="8">
        <f>TRUNC(0.188807*(F67-210)^1.41)</f>
        <v>595</v>
      </c>
      <c r="G68" s="8">
        <f>TRUNC(15.9803*(G67-3.8)^1.04)</f>
        <v>479</v>
      </c>
      <c r="H68" s="8">
        <f>TRUNC(0.11193*(254-H67)^1.88)</f>
        <v>1014</v>
      </c>
      <c r="I68" s="8"/>
    </row>
    <row r="69" spans="2:8" ht="12.75">
      <c r="B69" s="16"/>
      <c r="C69" s="2"/>
      <c r="D69" s="2"/>
      <c r="F69" s="2"/>
      <c r="H69" s="2"/>
    </row>
    <row r="70" spans="1:8" ht="12.75">
      <c r="A70" s="10">
        <v>95</v>
      </c>
      <c r="B70" s="7">
        <v>37.2</v>
      </c>
      <c r="C70" s="8">
        <v>82</v>
      </c>
      <c r="D70" s="7">
        <v>3.71</v>
      </c>
      <c r="E70" s="7">
        <v>62.23</v>
      </c>
      <c r="F70" s="8">
        <v>157</v>
      </c>
      <c r="G70" s="7">
        <v>6.88</v>
      </c>
      <c r="H70" s="7">
        <v>415</v>
      </c>
    </row>
    <row r="71" spans="1:8" ht="12.75">
      <c r="A71" s="2"/>
      <c r="B71" s="57">
        <v>0.1312</v>
      </c>
      <c r="C71" s="2">
        <v>2.6766</v>
      </c>
      <c r="D71" s="2">
        <v>3.4328</v>
      </c>
      <c r="E71" s="57">
        <v>0.2938</v>
      </c>
      <c r="F71" s="57">
        <v>4.4235</v>
      </c>
      <c r="G71" s="2">
        <v>6.3171</v>
      </c>
      <c r="H71" s="57">
        <v>0.2554</v>
      </c>
    </row>
    <row r="72" spans="1:8" ht="12.75">
      <c r="A72" s="2"/>
      <c r="B72" s="11">
        <f>+ROUNDUP((B70*B71),2)</f>
        <v>4.89</v>
      </c>
      <c r="C72" s="1">
        <f>+TRUNC((C70*C71),0)</f>
        <v>219</v>
      </c>
      <c r="D72" s="11">
        <f>+TRUNC((D70*D71),2)</f>
        <v>12.73</v>
      </c>
      <c r="E72" s="11">
        <f>+ROUNDUP((E70*E71),2)</f>
        <v>18.290000000000003</v>
      </c>
      <c r="F72" s="1">
        <f>+TRUNC((F70*F71),0)</f>
        <v>694</v>
      </c>
      <c r="G72" s="11">
        <f>+TRUNC((G70*G71),2)</f>
        <v>43.46</v>
      </c>
      <c r="H72" s="11">
        <f>+ROUNDUP((H70*H71),2)</f>
        <v>106</v>
      </c>
    </row>
    <row r="73" spans="1:9" ht="12.75">
      <c r="A73" s="1"/>
      <c r="B73" s="8">
        <f>TRUNC(9.23076*(26.7-B72)^1.835)</f>
        <v>2640</v>
      </c>
      <c r="C73" s="8">
        <f>TRUNC(1.84523*(C72-75)^1.348)</f>
        <v>1498</v>
      </c>
      <c r="D73" s="8">
        <f>TRUNC(56.0211*(D72-1.5)^1.05)</f>
        <v>709</v>
      </c>
      <c r="E73" s="8">
        <f>TRUNC(4.99087*(42.5-E72)^1.81)</f>
        <v>1596</v>
      </c>
      <c r="F73" s="8">
        <f>TRUNC(0.188807*(F72-210)^1.41)</f>
        <v>1152</v>
      </c>
      <c r="G73" s="8">
        <f>TRUNC(15.9803*(G72-3.8)^1.04)</f>
        <v>734</v>
      </c>
      <c r="H73" s="8">
        <f>TRUNC(0.11193*(254-H72)^1.88)</f>
        <v>1345</v>
      </c>
      <c r="I73" s="8"/>
    </row>
    <row r="74" spans="2:8" ht="12.75">
      <c r="B74" s="4"/>
      <c r="C74" s="2"/>
      <c r="D74" s="2"/>
      <c r="F74" s="2"/>
      <c r="H74" s="2"/>
    </row>
    <row r="75" spans="1:8" ht="12.75">
      <c r="A75" s="10" t="s">
        <v>9</v>
      </c>
      <c r="B75" s="7">
        <v>37.2</v>
      </c>
      <c r="C75" s="8">
        <v>82</v>
      </c>
      <c r="D75" s="7">
        <v>3.71</v>
      </c>
      <c r="E75" s="7">
        <v>62.23</v>
      </c>
      <c r="F75" s="8">
        <v>157</v>
      </c>
      <c r="G75" s="7">
        <v>6.88</v>
      </c>
      <c r="H75" s="7">
        <v>415</v>
      </c>
    </row>
    <row r="76" spans="1:8" ht="12.75">
      <c r="A76" s="2"/>
      <c r="B76" s="57">
        <v>0.2209</v>
      </c>
      <c r="C76" s="57">
        <v>3.2</v>
      </c>
      <c r="D76" s="2">
        <v>4.3917</v>
      </c>
      <c r="E76" s="57">
        <v>0.1917</v>
      </c>
      <c r="F76" s="57">
        <v>7.52</v>
      </c>
      <c r="G76" s="2">
        <v>11.337</v>
      </c>
      <c r="H76" s="57">
        <v>0.2007</v>
      </c>
    </row>
    <row r="77" spans="1:8" ht="12.75">
      <c r="A77" s="2"/>
      <c r="B77" s="11">
        <f>+ROUNDUP((B75*B76),2)</f>
        <v>8.22</v>
      </c>
      <c r="C77" s="1">
        <f>+TRUNC((C75*C76),0)</f>
        <v>262</v>
      </c>
      <c r="D77" s="11">
        <f>+TRUNC((D75*D76),2)</f>
        <v>16.29</v>
      </c>
      <c r="E77" s="11">
        <f>+ROUNDUP((E75*E76),2)</f>
        <v>11.93</v>
      </c>
      <c r="F77" s="1">
        <f>+TRUNC((F75*F76),0)</f>
        <v>1180</v>
      </c>
      <c r="G77" s="11">
        <f>+TRUNC((G75*G76),2)</f>
        <v>77.99</v>
      </c>
      <c r="H77" s="11">
        <f>+ROUNDUP((H75*H76),2)</f>
        <v>83.30000000000001</v>
      </c>
    </row>
    <row r="78" spans="1:9" ht="12.75">
      <c r="A78" s="1"/>
      <c r="B78" s="8">
        <f>TRUNC(9.23076*(26.7-B77)^1.835)</f>
        <v>1948</v>
      </c>
      <c r="C78" s="8">
        <f>TRUNC(1.84523*(C77-75)^1.348)</f>
        <v>2130</v>
      </c>
      <c r="D78" s="8">
        <f>TRUNC(56.0211*(D77-1.5)^1.05)</f>
        <v>948</v>
      </c>
      <c r="E78" s="8">
        <f>TRUNC(4.99087*(42.5-E77)^1.81)</f>
        <v>2435</v>
      </c>
      <c r="F78" s="8">
        <f>TRUNC(0.188807*(F77-210)^1.41)</f>
        <v>3071</v>
      </c>
      <c r="G78" s="8">
        <f>TRUNC(15.9803*(G77-3.8)^1.04)</f>
        <v>1408</v>
      </c>
      <c r="H78" s="8">
        <f>TRUNC(0.11193*(254-H77)^1.88)</f>
        <v>1760</v>
      </c>
      <c r="I78" s="8"/>
    </row>
    <row r="79" spans="2:8" ht="12.75">
      <c r="B79" s="4"/>
      <c r="C79" s="2"/>
      <c r="D79" s="2"/>
      <c r="F79" s="8"/>
      <c r="H79" s="2"/>
    </row>
    <row r="80" spans="3:8" ht="12.75">
      <c r="C80" s="2"/>
      <c r="D80" s="2"/>
      <c r="F80" s="2"/>
      <c r="H80" s="2"/>
    </row>
    <row r="81" spans="3:8" ht="12.75">
      <c r="C81" s="2"/>
      <c r="D81" s="2"/>
      <c r="F81" s="2"/>
      <c r="H81" s="2"/>
    </row>
    <row r="82" spans="3:8" ht="12.75">
      <c r="C82" s="2"/>
      <c r="D82" s="2"/>
      <c r="F82" s="2"/>
      <c r="H82" s="2"/>
    </row>
    <row r="83" spans="3:6" ht="12.75">
      <c r="C83" s="2"/>
      <c r="D83" s="2"/>
      <c r="F83" s="2"/>
    </row>
    <row r="84" spans="3:6" ht="12.75">
      <c r="C84" s="2"/>
      <c r="D84" s="2"/>
      <c r="F84" s="2"/>
    </row>
    <row r="85" spans="3:4" ht="12.75">
      <c r="C85" s="2"/>
      <c r="D85" s="2"/>
    </row>
    <row r="86" spans="3:4" ht="12.75">
      <c r="C86" s="2"/>
      <c r="D86" s="2"/>
    </row>
    <row r="87" spans="3:4" ht="12.75">
      <c r="C87" s="2"/>
      <c r="D87" s="2"/>
    </row>
    <row r="88" spans="3:4" ht="12.75">
      <c r="C88" s="2"/>
      <c r="D88" s="2"/>
    </row>
    <row r="89" spans="3:4" ht="12.75">
      <c r="C89" s="2"/>
      <c r="D89" s="2"/>
    </row>
    <row r="90" spans="3:4" ht="12.75">
      <c r="C90" s="2"/>
      <c r="D90" s="2"/>
    </row>
    <row r="91" spans="3:4" ht="12.75">
      <c r="C91" s="2"/>
      <c r="D91" s="2"/>
    </row>
    <row r="92" ht="12.75">
      <c r="D92" s="2"/>
    </row>
    <row r="93" ht="12.75">
      <c r="D93" s="2"/>
    </row>
    <row r="94" ht="12.75">
      <c r="D9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pane ySplit="1500" topLeftCell="A10" activePane="bottomLeft" state="split"/>
      <selection pane="topLeft" activeCell="A3" sqref="A3"/>
      <selection pane="bottomLeft" activeCell="A4" sqref="A4"/>
    </sheetView>
  </sheetViews>
  <sheetFormatPr defaultColWidth="9.140625" defaultRowHeight="12.75"/>
  <cols>
    <col min="2" max="2" width="13.57421875" style="0" customWidth="1"/>
    <col min="3" max="3" width="10.57421875" style="0" customWidth="1"/>
    <col min="4" max="4" width="12.00390625" style="0" customWidth="1"/>
    <col min="5" max="5" width="13.57421875" style="0" customWidth="1"/>
    <col min="6" max="6" width="11.421875" style="0" customWidth="1"/>
    <col min="7" max="7" width="12.140625" style="0" customWidth="1"/>
    <col min="8" max="8" width="13.8515625" style="0" customWidth="1"/>
    <col min="9" max="9" width="12.8515625" style="0" customWidth="1"/>
    <col min="10" max="10" width="12.00390625" style="0" customWidth="1"/>
  </cols>
  <sheetData>
    <row r="1" ht="15.75">
      <c r="A1" s="17" t="s">
        <v>110</v>
      </c>
    </row>
    <row r="3" spans="2:3" ht="12.75">
      <c r="B3" s="20" t="s">
        <v>10</v>
      </c>
      <c r="C3" s="30" t="s">
        <v>11</v>
      </c>
    </row>
    <row r="4" spans="2:9" ht="12.75">
      <c r="B4" s="27" t="s">
        <v>16</v>
      </c>
      <c r="C4" s="34" t="s">
        <v>3</v>
      </c>
      <c r="D4" s="27" t="s">
        <v>1</v>
      </c>
      <c r="E4" s="27" t="s">
        <v>2</v>
      </c>
      <c r="F4" s="27" t="s">
        <v>4</v>
      </c>
      <c r="G4" s="27" t="s">
        <v>6</v>
      </c>
      <c r="H4" t="s">
        <v>7</v>
      </c>
      <c r="I4" t="s">
        <v>8</v>
      </c>
    </row>
    <row r="5" spans="3:7" ht="12.75">
      <c r="C5" s="30"/>
      <c r="D5" s="2"/>
      <c r="E5" s="2"/>
      <c r="F5" s="2"/>
      <c r="G5" s="2"/>
    </row>
    <row r="6" spans="1:8" ht="12.75">
      <c r="A6" s="10">
        <v>30</v>
      </c>
      <c r="B6" s="7">
        <v>18.5</v>
      </c>
      <c r="C6" s="35">
        <v>29.66</v>
      </c>
      <c r="D6" s="8">
        <v>148</v>
      </c>
      <c r="E6" s="7">
        <v>8.65</v>
      </c>
      <c r="F6" s="8">
        <v>472</v>
      </c>
      <c r="G6" s="7">
        <f>2*60+32.62</f>
        <v>152.62</v>
      </c>
      <c r="H6" s="2"/>
    </row>
    <row r="7" spans="1:8" ht="12.75">
      <c r="A7" s="2"/>
      <c r="B7" s="2">
        <v>1</v>
      </c>
      <c r="C7" s="36">
        <v>1</v>
      </c>
      <c r="D7" s="2">
        <v>1</v>
      </c>
      <c r="E7" s="2">
        <v>1</v>
      </c>
      <c r="F7" s="2">
        <v>1</v>
      </c>
      <c r="G7" s="2">
        <v>1</v>
      </c>
      <c r="H7" s="2"/>
    </row>
    <row r="8" spans="1:8" ht="12.75">
      <c r="A8" s="2"/>
      <c r="B8" s="11">
        <f>+ROUNDUP((B6*B7),2)</f>
        <v>18.5</v>
      </c>
      <c r="C8" s="37">
        <f>+ROUNDUP((C6*C7),2)</f>
        <v>29.66</v>
      </c>
      <c r="D8" s="1">
        <f>+TRUNC((D6*D7),0)</f>
        <v>148</v>
      </c>
      <c r="E8" s="11">
        <f>+TRUNC((E6*E7),2)</f>
        <v>8.65</v>
      </c>
      <c r="F8" s="1">
        <f>+TRUNC((F6*F7),0)</f>
        <v>472</v>
      </c>
      <c r="G8" s="11">
        <f>+ROUNDUP((G6*G7),2)</f>
        <v>152.62</v>
      </c>
      <c r="H8" s="14"/>
    </row>
    <row r="9" spans="1:9" ht="12.75">
      <c r="A9" s="1"/>
      <c r="B9" s="8">
        <f>TRUNC(9.23076*(26.7-B8)^1.835)</f>
        <v>438</v>
      </c>
      <c r="C9" s="38">
        <f>TRUNC(4.99087*(42.5-C8)^1.81)</f>
        <v>506</v>
      </c>
      <c r="D9" s="8">
        <f>TRUNC(1.84523*(D8-75)^1.348)</f>
        <v>599</v>
      </c>
      <c r="E9" s="8">
        <f>TRUNC(56.0211*(E8-1.5)^1.05)</f>
        <v>441</v>
      </c>
      <c r="F9" s="8">
        <f>TRUNC(0.188807*(F8-210)^1.41)</f>
        <v>485</v>
      </c>
      <c r="G9" s="8">
        <f>TRUNC(0.11193*(254-G8)^1.88)</f>
        <v>660</v>
      </c>
      <c r="H9" s="8">
        <f>B9+D9+E9+F9+G9</f>
        <v>2623</v>
      </c>
      <c r="I9" s="41">
        <f>C9+D9+E9+F9+G9</f>
        <v>2691</v>
      </c>
    </row>
    <row r="10" spans="3:7" ht="12.75">
      <c r="C10" s="30"/>
      <c r="D10" s="2"/>
      <c r="E10" s="2"/>
      <c r="F10" s="2"/>
      <c r="G10" s="2"/>
    </row>
    <row r="11" spans="1:15" ht="12.75">
      <c r="A11" s="10">
        <v>35</v>
      </c>
      <c r="B11" s="7">
        <v>18.5</v>
      </c>
      <c r="C11" s="35">
        <v>29.66</v>
      </c>
      <c r="D11" s="8">
        <v>148</v>
      </c>
      <c r="E11" s="7">
        <v>8.65</v>
      </c>
      <c r="F11" s="8">
        <v>472</v>
      </c>
      <c r="G11" s="7">
        <f>2*60+32.62</f>
        <v>152.62</v>
      </c>
      <c r="H11" s="2"/>
      <c r="J11" s="7"/>
      <c r="K11" s="7"/>
      <c r="L11" s="8"/>
      <c r="M11" s="7"/>
      <c r="N11" s="8"/>
      <c r="O11" s="7"/>
    </row>
    <row r="12" spans="1:10" ht="12.75">
      <c r="A12" s="2"/>
      <c r="B12" s="2">
        <v>0.9852</v>
      </c>
      <c r="C12" s="36">
        <v>0.9702</v>
      </c>
      <c r="D12" s="2">
        <v>1.0512</v>
      </c>
      <c r="E12" s="2">
        <v>1.0368</v>
      </c>
      <c r="F12" s="2">
        <v>1.05</v>
      </c>
      <c r="G12" s="2">
        <v>0.9951</v>
      </c>
      <c r="H12" s="2"/>
      <c r="J12" s="13"/>
    </row>
    <row r="13" spans="1:10" ht="12.75">
      <c r="A13" s="2"/>
      <c r="B13" s="11">
        <f>+ROUNDUP((B11*B12),2)</f>
        <v>18.23</v>
      </c>
      <c r="C13" s="37">
        <f>+ROUNDUP((C11*C12),2)</f>
        <v>28.78</v>
      </c>
      <c r="D13" s="1">
        <f>+TRUNC((D11*D12),0)</f>
        <v>155</v>
      </c>
      <c r="E13" s="11">
        <f>+TRUNC((E11*E12),2)</f>
        <v>8.96</v>
      </c>
      <c r="F13" s="1">
        <f>+TRUNC((F11*F12),0)</f>
        <v>495</v>
      </c>
      <c r="G13" s="11">
        <f>+ROUNDUP((G11*G12),2)</f>
        <v>151.88</v>
      </c>
      <c r="H13" s="14" t="s">
        <v>46</v>
      </c>
      <c r="J13" s="14"/>
    </row>
    <row r="14" spans="1:9" ht="12.75">
      <c r="A14" s="1"/>
      <c r="B14" s="8">
        <f>TRUNC(9.23076*(26.7-B13)^1.835)</f>
        <v>465</v>
      </c>
      <c r="C14" s="38">
        <f>TRUNC(4.99087*(42.5-C13)^1.81)</f>
        <v>571</v>
      </c>
      <c r="D14" s="8">
        <f>TRUNC(1.84523*(D13-75)^1.348)</f>
        <v>678</v>
      </c>
      <c r="E14" s="8">
        <f>TRUNC(56.0211*(E13-1.5)^1.05)</f>
        <v>462</v>
      </c>
      <c r="F14" s="8">
        <f>TRUNC(0.188807*(F13-210)^1.41)</f>
        <v>546</v>
      </c>
      <c r="G14" s="8">
        <f>TRUNC(0.11193*(254-G13)^1.88)</f>
        <v>670</v>
      </c>
      <c r="H14" s="8">
        <f>B14+D14+E14+F14+G14</f>
        <v>2821</v>
      </c>
      <c r="I14" s="41">
        <f>C14+D14+E14+F14+G14</f>
        <v>2927</v>
      </c>
    </row>
    <row r="15" spans="2:8" ht="12.75">
      <c r="B15" s="16"/>
      <c r="C15" s="39"/>
      <c r="D15" s="5"/>
      <c r="E15" s="5"/>
      <c r="F15" s="5"/>
      <c r="G15" s="5"/>
      <c r="H15" s="10"/>
    </row>
    <row r="16" spans="1:8" ht="12.75">
      <c r="A16" s="10">
        <v>40</v>
      </c>
      <c r="B16" s="7">
        <v>12.74</v>
      </c>
      <c r="C16" s="35">
        <v>29.01</v>
      </c>
      <c r="D16" s="8">
        <v>157</v>
      </c>
      <c r="E16" s="7">
        <v>7.16</v>
      </c>
      <c r="F16" s="8">
        <v>513</v>
      </c>
      <c r="G16" s="7">
        <f>2*60+55.7</f>
        <v>175.7</v>
      </c>
      <c r="H16" s="2"/>
    </row>
    <row r="17" spans="1:8" ht="12.75">
      <c r="A17" s="2"/>
      <c r="B17" s="2">
        <v>1.1834</v>
      </c>
      <c r="C17" s="36">
        <v>0.9342</v>
      </c>
      <c r="D17" s="2">
        <v>1.1036</v>
      </c>
      <c r="E17" s="2">
        <v>1.11</v>
      </c>
      <c r="F17" s="2">
        <v>1.1101</v>
      </c>
      <c r="G17" s="2">
        <v>0.9537</v>
      </c>
      <c r="H17" s="2"/>
    </row>
    <row r="18" spans="1:8" ht="12.75">
      <c r="A18" s="2"/>
      <c r="B18" s="11">
        <f>+ROUNDUP((B16*B17),2)</f>
        <v>15.08</v>
      </c>
      <c r="C18" s="37">
        <f>+ROUNDUP((C16*C17),2)</f>
        <v>27.110000000000003</v>
      </c>
      <c r="D18" s="1">
        <f>+TRUNC((D16*D17),0)</f>
        <v>173</v>
      </c>
      <c r="E18" s="11">
        <f>+TRUNC((E16*E17),2)</f>
        <v>7.94</v>
      </c>
      <c r="F18" s="1">
        <f>+TRUNC((F16*F17),0)</f>
        <v>569</v>
      </c>
      <c r="G18" s="11">
        <f>+ROUNDUP((G16*G17),2)</f>
        <v>167.57</v>
      </c>
      <c r="H18" s="2" t="s">
        <v>71</v>
      </c>
    </row>
    <row r="19" spans="1:9" ht="12.75">
      <c r="A19" s="8"/>
      <c r="B19" s="8">
        <f>TRUNC(9.23076*(26.7-B18)^1.835)</f>
        <v>831</v>
      </c>
      <c r="C19" s="38">
        <f>TRUNC(4.99087*(42.5-C18)^1.81)</f>
        <v>703</v>
      </c>
      <c r="D19" s="8">
        <f>TRUNC(1.84523*(D18-75)^1.348)</f>
        <v>891</v>
      </c>
      <c r="E19" s="8">
        <f>TRUNC(56.0211*(E18-1.5)^1.05)</f>
        <v>395</v>
      </c>
      <c r="F19" s="8">
        <f>TRUNC(0.188807*(F18-210)^1.41)</f>
        <v>756</v>
      </c>
      <c r="G19" s="8">
        <f>TRUNC(0.11193*(254-G18)^1.88)</f>
        <v>489</v>
      </c>
      <c r="H19" s="8">
        <f>B19+D19+E19+F19+G19</f>
        <v>3362</v>
      </c>
      <c r="I19" s="41">
        <f>C19+D19+E19+F19+G19</f>
        <v>3234</v>
      </c>
    </row>
    <row r="20" spans="1:8" ht="12.75">
      <c r="A20" s="6"/>
      <c r="B20" s="16"/>
      <c r="C20" s="39"/>
      <c r="D20" s="5"/>
      <c r="E20" s="5"/>
      <c r="F20" s="2"/>
      <c r="G20" s="5"/>
      <c r="H20" s="10"/>
    </row>
    <row r="21" spans="1:15" ht="12.75">
      <c r="A21" s="10">
        <v>45</v>
      </c>
      <c r="B21" s="7">
        <v>12.84</v>
      </c>
      <c r="C21" s="35">
        <v>30.44</v>
      </c>
      <c r="D21" s="8">
        <v>149</v>
      </c>
      <c r="E21" s="7">
        <v>9.92</v>
      </c>
      <c r="F21" s="8">
        <v>481</v>
      </c>
      <c r="G21" s="7">
        <f>2*60+56.2</f>
        <v>176.2</v>
      </c>
      <c r="H21" s="2"/>
      <c r="I21" s="7"/>
      <c r="J21" s="7"/>
      <c r="L21" s="8"/>
      <c r="M21" s="7"/>
      <c r="N21" s="8"/>
      <c r="O21" s="7"/>
    </row>
    <row r="22" spans="1:8" ht="12.75">
      <c r="A22" s="2"/>
      <c r="B22" s="2">
        <v>1.0914</v>
      </c>
      <c r="C22" s="36">
        <v>0.8982</v>
      </c>
      <c r="D22" s="2">
        <v>1.1614</v>
      </c>
      <c r="E22" s="2">
        <v>1.1943</v>
      </c>
      <c r="F22" s="2">
        <v>1.1776</v>
      </c>
      <c r="G22" s="2">
        <v>0.9123</v>
      </c>
      <c r="H22" s="14"/>
    </row>
    <row r="23" spans="1:8" ht="12.75">
      <c r="A23" s="2"/>
      <c r="B23" s="11">
        <f>+ROUNDUP((B21*B22),2)</f>
        <v>14.02</v>
      </c>
      <c r="C23" s="37">
        <f>+ROUNDUP((C21*C22),2)</f>
        <v>27.35</v>
      </c>
      <c r="D23" s="1">
        <f>+TRUNC((D21*D22),0)</f>
        <v>173</v>
      </c>
      <c r="E23" s="11">
        <f>+TRUNC((E21*E22),2)</f>
        <v>11.84</v>
      </c>
      <c r="F23" s="1">
        <f>+TRUNC((F21*F22),0)</f>
        <v>566</v>
      </c>
      <c r="G23" s="11">
        <f>+ROUNDUP((G21*G22),2)</f>
        <v>160.75</v>
      </c>
      <c r="H23" s="14" t="s">
        <v>95</v>
      </c>
    </row>
    <row r="24" spans="1:9" ht="12.75">
      <c r="A24" s="1"/>
      <c r="B24" s="8">
        <f>TRUNC(9.23076*(26.7-B23)^1.835)</f>
        <v>976</v>
      </c>
      <c r="C24" s="38">
        <f>TRUNC(4.99087*(42.5-C23)^1.81)</f>
        <v>683</v>
      </c>
      <c r="D24" s="8">
        <f>TRUNC(1.84523*(D23-75)^1.348)</f>
        <v>891</v>
      </c>
      <c r="E24" s="8">
        <f>TRUNC(56.0211*(E23-1.5)^1.05)</f>
        <v>651</v>
      </c>
      <c r="F24" s="8">
        <f>TRUNC(0.188807*(F23-210)^1.41)</f>
        <v>747</v>
      </c>
      <c r="G24" s="8">
        <f>TRUNC(0.11193*(254-G23)^1.88)</f>
        <v>564</v>
      </c>
      <c r="H24" s="8">
        <f>B24+D24+E24+F24+G24</f>
        <v>3829</v>
      </c>
      <c r="I24" s="41">
        <f>C24+D24+E24+F24+G24</f>
        <v>3536</v>
      </c>
    </row>
    <row r="25" spans="2:8" ht="12.75">
      <c r="B25" s="16"/>
      <c r="C25" s="40"/>
      <c r="D25" s="3"/>
      <c r="E25" s="3"/>
      <c r="F25" s="3"/>
      <c r="G25" s="3"/>
      <c r="H25" s="2"/>
    </row>
    <row r="26" spans="1:8" ht="12.75">
      <c r="A26" s="10">
        <v>50</v>
      </c>
      <c r="B26" s="7">
        <v>15.74</v>
      </c>
      <c r="C26" s="35">
        <v>30.84</v>
      </c>
      <c r="D26" s="8">
        <v>127</v>
      </c>
      <c r="E26" s="7">
        <v>8.28</v>
      </c>
      <c r="F26" s="8">
        <v>419</v>
      </c>
      <c r="G26" s="7">
        <f>3*60+12.49</f>
        <v>192.49</v>
      </c>
      <c r="H26" s="2"/>
    </row>
    <row r="27" spans="1:8" ht="12.75">
      <c r="A27" s="2"/>
      <c r="B27" s="2">
        <v>1.0964</v>
      </c>
      <c r="C27" s="36">
        <v>0.8622</v>
      </c>
      <c r="D27" s="2">
        <v>1.2256</v>
      </c>
      <c r="E27" s="2">
        <v>1.2607</v>
      </c>
      <c r="F27" s="2">
        <v>1.2538</v>
      </c>
      <c r="G27" s="2">
        <v>0.8709</v>
      </c>
      <c r="H27" s="2"/>
    </row>
    <row r="28" spans="1:8" ht="12.75">
      <c r="A28" s="2"/>
      <c r="B28" s="11">
        <f>+ROUNDUP((B26*B27),2)</f>
        <v>17.26</v>
      </c>
      <c r="C28" s="37">
        <f>+ROUNDUP((C26*C27),2)</f>
        <v>26.6</v>
      </c>
      <c r="D28" s="1">
        <f>+TRUNC((D26*D27),0)</f>
        <v>155</v>
      </c>
      <c r="E28" s="11">
        <f>+TRUNC((E26*E27),2)</f>
        <v>10.43</v>
      </c>
      <c r="F28" s="1">
        <f>+TRUNC((F26*F27),0)</f>
        <v>525</v>
      </c>
      <c r="G28" s="11">
        <f>+ROUNDUP((G26*G27),2)</f>
        <v>167.64</v>
      </c>
      <c r="H28" s="14" t="s">
        <v>81</v>
      </c>
    </row>
    <row r="29" spans="1:9" ht="12.75">
      <c r="A29" s="1"/>
      <c r="B29" s="8">
        <f>TRUNC(9.23076*(26.7-B28)^1.835)</f>
        <v>567</v>
      </c>
      <c r="C29" s="38">
        <f>TRUNC(4.99087*(42.5-C28)^1.81)</f>
        <v>745</v>
      </c>
      <c r="D29" s="8">
        <f>TRUNC(1.84523*(D28-75)^1.348)</f>
        <v>678</v>
      </c>
      <c r="E29" s="8">
        <f>TRUNC(56.0211*(E28-1.5)^1.05)</f>
        <v>558</v>
      </c>
      <c r="F29" s="8">
        <f>TRUNC(0.188807*(F28-210)^1.41)</f>
        <v>628</v>
      </c>
      <c r="G29" s="8">
        <f>TRUNC(0.11193*(254-G28)^1.88)</f>
        <v>488</v>
      </c>
      <c r="H29" s="8">
        <f>B29+D29+E29+F29+G29</f>
        <v>2919</v>
      </c>
      <c r="I29" s="41">
        <f>C29+D29+E29+F29+G29</f>
        <v>3097</v>
      </c>
    </row>
    <row r="30" spans="2:8" ht="12.75">
      <c r="B30" s="16"/>
      <c r="C30" s="40"/>
      <c r="D30" s="3"/>
      <c r="E30" s="3"/>
      <c r="F30" s="3"/>
      <c r="G30" s="3"/>
      <c r="H30" s="10"/>
    </row>
    <row r="31" spans="1:15" ht="12.75">
      <c r="A31" s="10">
        <v>55</v>
      </c>
      <c r="B31" s="7">
        <v>15.42</v>
      </c>
      <c r="C31" s="35">
        <v>31.4</v>
      </c>
      <c r="D31" s="8">
        <v>133</v>
      </c>
      <c r="E31" s="7">
        <v>8.96</v>
      </c>
      <c r="F31" s="8">
        <v>417</v>
      </c>
      <c r="G31" s="7">
        <f>2*60+56.97</f>
        <v>176.97</v>
      </c>
      <c r="H31" s="10"/>
      <c r="J31" s="7"/>
      <c r="K31" s="7"/>
      <c r="L31" s="8"/>
      <c r="M31" s="7"/>
      <c r="N31" s="8"/>
      <c r="O31" s="7"/>
    </row>
    <row r="32" spans="1:8" ht="12.75">
      <c r="A32" s="2"/>
      <c r="B32" s="2">
        <v>1.0044</v>
      </c>
      <c r="C32" s="36">
        <v>0.8262</v>
      </c>
      <c r="D32" s="2">
        <v>1.2973</v>
      </c>
      <c r="E32" s="2">
        <v>1.3706</v>
      </c>
      <c r="F32" s="2">
        <v>1.3405</v>
      </c>
      <c r="G32" s="2">
        <v>0.8295</v>
      </c>
      <c r="H32" s="10"/>
    </row>
    <row r="33" spans="1:8" ht="12.75">
      <c r="A33" s="2"/>
      <c r="B33" s="11">
        <f>+ROUNDUP((B31*B32),2)</f>
        <v>15.49</v>
      </c>
      <c r="C33" s="37">
        <f>+ROUNDUP((C31*C32),2)</f>
        <v>25.950000000000003</v>
      </c>
      <c r="D33" s="1">
        <f>+TRUNC((D31*D32),0)</f>
        <v>172</v>
      </c>
      <c r="E33" s="11">
        <f>+TRUNC((E31*E32),2)</f>
        <v>12.28</v>
      </c>
      <c r="F33" s="1">
        <f>+TRUNC((F31*F32),0)</f>
        <v>558</v>
      </c>
      <c r="G33" s="11">
        <f>+ROUNDUP((G31*G32),2)</f>
        <v>146.79999999999998</v>
      </c>
      <c r="H33" s="14" t="s">
        <v>47</v>
      </c>
    </row>
    <row r="34" spans="1:9" ht="12.75">
      <c r="A34" s="1"/>
      <c r="B34" s="8">
        <f>TRUNC(9.23076*(26.7-B33)^1.835)</f>
        <v>778</v>
      </c>
      <c r="C34" s="38">
        <f>TRUNC(4.99087*(42.5-C33)^1.81)</f>
        <v>802</v>
      </c>
      <c r="D34" s="8">
        <f>TRUNC(1.84523*(D33-75)^1.348)</f>
        <v>879</v>
      </c>
      <c r="E34" s="8">
        <f>TRUNC(56.0211*(E33-1.5)^1.05)</f>
        <v>680</v>
      </c>
      <c r="F34" s="8">
        <f>TRUNC(0.188807*(F33-210)^1.41)</f>
        <v>723</v>
      </c>
      <c r="G34" s="8">
        <f>TRUNC(0.11193*(254-G33)^1.88)</f>
        <v>734</v>
      </c>
      <c r="H34" s="8">
        <f>B34+D34+E34+F34+G34</f>
        <v>3794</v>
      </c>
      <c r="I34" s="41">
        <f>C34+D34+E34+F34+G34</f>
        <v>3818</v>
      </c>
    </row>
    <row r="35" spans="1:8" ht="12.75">
      <c r="A35" t="s">
        <v>0</v>
      </c>
      <c r="B35" s="16"/>
      <c r="C35" s="36"/>
      <c r="D35" s="2"/>
      <c r="E35" s="2"/>
      <c r="F35" s="2"/>
      <c r="G35" s="2"/>
      <c r="H35" s="10"/>
    </row>
    <row r="36" spans="1:8" ht="12.75">
      <c r="A36" s="10">
        <v>60</v>
      </c>
      <c r="B36" s="7">
        <v>14.36</v>
      </c>
      <c r="C36" s="35">
        <v>31.95</v>
      </c>
      <c r="D36" s="8">
        <v>131</v>
      </c>
      <c r="E36" s="7">
        <v>7.99</v>
      </c>
      <c r="F36" s="8">
        <v>404</v>
      </c>
      <c r="G36" s="7">
        <f>2*60+56.79</f>
        <v>176.79</v>
      </c>
      <c r="H36" s="10"/>
    </row>
    <row r="37" spans="1:8" ht="12.75">
      <c r="A37" s="2"/>
      <c r="B37" s="21">
        <v>0.9924</v>
      </c>
      <c r="C37" s="36">
        <v>0.7902</v>
      </c>
      <c r="D37" s="2">
        <v>1.3779</v>
      </c>
      <c r="E37" s="2">
        <v>1.5015</v>
      </c>
      <c r="F37" s="2">
        <v>1.44</v>
      </c>
      <c r="G37" s="2">
        <v>0.7848</v>
      </c>
      <c r="H37" s="10"/>
    </row>
    <row r="38" spans="1:8" ht="12.75">
      <c r="A38" s="2"/>
      <c r="B38" s="11">
        <f>+ROUNDUP((B36*B37),2)</f>
        <v>14.26</v>
      </c>
      <c r="C38" s="37">
        <f>+ROUNDUP((C36*C37),2)</f>
        <v>25.25</v>
      </c>
      <c r="D38" s="1">
        <f>+TRUNC((D36*D37),0)</f>
        <v>180</v>
      </c>
      <c r="E38" s="11">
        <f>+TRUNC((E36*E37),2)</f>
        <v>11.99</v>
      </c>
      <c r="F38" s="1">
        <f>+TRUNC((F36*F37),0)</f>
        <v>581</v>
      </c>
      <c r="G38" s="11">
        <f>+ROUNDUP((G36*G37),2)</f>
        <v>138.75</v>
      </c>
      <c r="H38" s="14" t="s">
        <v>47</v>
      </c>
    </row>
    <row r="39" spans="1:9" ht="12.75">
      <c r="A39" s="1"/>
      <c r="B39" s="8">
        <f>TRUNC(9.23076*(26.7-B38)^1.835)</f>
        <v>942</v>
      </c>
      <c r="C39" s="38">
        <f>TRUNC(4.99087*(42.5-C38)^1.81)</f>
        <v>864</v>
      </c>
      <c r="D39" s="8">
        <f>TRUNC(1.84523*(D38-75)^1.348)</f>
        <v>978</v>
      </c>
      <c r="E39" s="8">
        <f>TRUNC(56.0211*(E38-1.5)^1.05)</f>
        <v>660</v>
      </c>
      <c r="F39" s="8">
        <f>TRUNC(0.188807*(F38-210)^1.41)</f>
        <v>792</v>
      </c>
      <c r="G39" s="8">
        <f>TRUNC(0.11193*(254-G38)^1.88)</f>
        <v>841</v>
      </c>
      <c r="H39" s="8">
        <f>B39+D39+E39+F39+G39</f>
        <v>4213</v>
      </c>
      <c r="I39" s="41">
        <f>C39+D39+E39+F39+G39</f>
        <v>4135</v>
      </c>
    </row>
    <row r="40" spans="2:8" ht="12.75">
      <c r="B40" s="16"/>
      <c r="C40" s="40"/>
      <c r="D40" s="3"/>
      <c r="E40" s="3"/>
      <c r="F40" s="3"/>
      <c r="G40" s="3"/>
      <c r="H40" s="10"/>
    </row>
    <row r="41" spans="1:8" ht="12.75">
      <c r="A41" s="10">
        <v>65</v>
      </c>
      <c r="B41" s="7">
        <v>15.44</v>
      </c>
      <c r="C41" s="35">
        <v>35.2</v>
      </c>
      <c r="D41" s="8">
        <v>121</v>
      </c>
      <c r="E41" s="7">
        <v>7.84</v>
      </c>
      <c r="F41" s="8">
        <v>376</v>
      </c>
      <c r="G41" s="7">
        <f>3*60+15.24</f>
        <v>195.24</v>
      </c>
      <c r="H41" s="10"/>
    </row>
    <row r="42" spans="1:8" ht="12.75">
      <c r="A42" s="2"/>
      <c r="B42" s="2">
        <v>0.9004</v>
      </c>
      <c r="C42" s="36">
        <v>0.7542</v>
      </c>
      <c r="D42" s="2">
        <v>1.4708</v>
      </c>
      <c r="E42" s="2">
        <v>1.66</v>
      </c>
      <c r="F42" s="2">
        <v>1.5557</v>
      </c>
      <c r="G42" s="2">
        <v>0.7342</v>
      </c>
      <c r="H42" s="10"/>
    </row>
    <row r="43" spans="1:8" ht="12.75">
      <c r="A43" s="2"/>
      <c r="B43" s="11">
        <f>+ROUNDUP((B41*B42),2)</f>
        <v>13.91</v>
      </c>
      <c r="C43" s="37">
        <f>+ROUNDUP((C41*C42),2)</f>
        <v>26.55</v>
      </c>
      <c r="D43" s="1">
        <f>+TRUNC((D41*D42),0)</f>
        <v>177</v>
      </c>
      <c r="E43" s="11">
        <f>+TRUNC((E41*E42),2)</f>
        <v>13.01</v>
      </c>
      <c r="F43" s="1">
        <f>+TRUNC((F41*F42),0)</f>
        <v>584</v>
      </c>
      <c r="G43" s="11">
        <f>+ROUNDUP((G41*G42),2)</f>
        <v>143.35</v>
      </c>
      <c r="H43" s="14" t="s">
        <v>47</v>
      </c>
    </row>
    <row r="44" spans="1:9" ht="12.75">
      <c r="A44" s="1"/>
      <c r="B44" s="8">
        <f>TRUNC(9.23076*(26.7-B43)^1.835)</f>
        <v>991</v>
      </c>
      <c r="C44" s="38">
        <f>TRUNC(4.99087*(42.5-C43)^1.81)</f>
        <v>750</v>
      </c>
      <c r="D44" s="8">
        <f>TRUNC(1.84523*(D43-75)^1.348)</f>
        <v>941</v>
      </c>
      <c r="E44" s="8">
        <f>TRUNC(56.0211*(E43-1.5)^1.05)</f>
        <v>728</v>
      </c>
      <c r="F44" s="8">
        <f>TRUNC(0.188807*(F43-210)^1.41)</f>
        <v>801</v>
      </c>
      <c r="G44" s="8">
        <f>TRUNC(0.11193*(254-G43)^1.88)</f>
        <v>779</v>
      </c>
      <c r="H44" s="8">
        <f>B44+D44+E44+F44+G44</f>
        <v>4240</v>
      </c>
      <c r="I44" s="41">
        <f>C44+D44+E44+F44+G44</f>
        <v>3999</v>
      </c>
    </row>
    <row r="45" spans="2:7" ht="12.75">
      <c r="B45" s="16"/>
      <c r="C45" s="30"/>
      <c r="D45" s="2"/>
      <c r="E45" s="2"/>
      <c r="F45" s="2"/>
      <c r="G45" s="2"/>
    </row>
    <row r="46" spans="1:15" ht="12.75">
      <c r="A46" s="10">
        <v>70</v>
      </c>
      <c r="B46" s="7">
        <v>17.31</v>
      </c>
      <c r="C46" s="35">
        <v>54.96</v>
      </c>
      <c r="D46" s="8">
        <v>75</v>
      </c>
      <c r="E46" s="7">
        <v>4.43</v>
      </c>
      <c r="F46" s="8">
        <v>172</v>
      </c>
      <c r="G46" s="7">
        <v>336.33</v>
      </c>
      <c r="H46" s="10"/>
      <c r="J46" s="7"/>
      <c r="K46" s="7"/>
      <c r="L46" s="8"/>
      <c r="M46" s="7"/>
      <c r="N46" s="8"/>
      <c r="O46" s="7"/>
    </row>
    <row r="47" spans="1:8" ht="12.75">
      <c r="A47" s="2"/>
      <c r="B47" s="2">
        <v>0.8084</v>
      </c>
      <c r="C47" s="36">
        <v>0.7068</v>
      </c>
      <c r="D47" s="2">
        <v>1.5795</v>
      </c>
      <c r="E47" s="2">
        <v>1.8559</v>
      </c>
      <c r="F47" s="2">
        <v>1.6943</v>
      </c>
      <c r="G47" s="2">
        <v>0.6752</v>
      </c>
      <c r="H47" s="10"/>
    </row>
    <row r="48" spans="1:9" ht="12.75">
      <c r="A48" s="2"/>
      <c r="B48" s="11">
        <f>+ROUNDUP((B46*B47),2)</f>
        <v>14</v>
      </c>
      <c r="C48" s="37">
        <f>+ROUNDUP((C46*C47),2)</f>
        <v>38.85</v>
      </c>
      <c r="D48" s="1">
        <f>+TRUNC((D46*D47),0)</f>
        <v>118</v>
      </c>
      <c r="E48" s="11">
        <f>+TRUNC((E46*E47),2)</f>
        <v>8.22</v>
      </c>
      <c r="F48" s="1">
        <f>+TRUNC((F46*F47),0)</f>
        <v>291</v>
      </c>
      <c r="G48" s="11">
        <f>+ROUNDUP((G46*G47),2)</f>
        <v>227.1</v>
      </c>
      <c r="H48" s="10"/>
      <c r="I48" t="s">
        <v>72</v>
      </c>
    </row>
    <row r="49" spans="1:9" ht="12.75">
      <c r="A49" s="1"/>
      <c r="B49" s="8">
        <f>TRUNC(9.23076*(26.7-B48)^1.835)</f>
        <v>978</v>
      </c>
      <c r="C49" s="38">
        <f>TRUNC(4.99087*(42.5-C48)^1.81)</f>
        <v>51</v>
      </c>
      <c r="D49" s="8">
        <f>TRUNC(1.84523*(D48-75)^1.348)</f>
        <v>293</v>
      </c>
      <c r="E49" s="8">
        <f>TRUNC(56.0211*(E48-1.5)^1.05)</f>
        <v>414</v>
      </c>
      <c r="F49" s="8">
        <f>TRUNC(0.188807*(F48-210)^1.41)</f>
        <v>92</v>
      </c>
      <c r="G49" s="8">
        <f>TRUNC(0.11193*(254-G48)^1.88)</f>
        <v>54</v>
      </c>
      <c r="H49" s="8">
        <f>B49+D49+E49+F49+G49</f>
        <v>1831</v>
      </c>
      <c r="I49" s="41">
        <f>C49+D49+E49+F49+G49</f>
        <v>904</v>
      </c>
    </row>
    <row r="50" spans="2:7" ht="12.75">
      <c r="B50" s="16"/>
      <c r="C50" s="30"/>
      <c r="D50" s="2"/>
      <c r="E50" s="2"/>
      <c r="F50" s="2"/>
      <c r="G50" s="2"/>
    </row>
    <row r="51" spans="1:8" ht="12.75">
      <c r="A51" s="10">
        <v>75</v>
      </c>
      <c r="B51" s="7">
        <v>17.31</v>
      </c>
      <c r="C51" s="35">
        <v>54.96</v>
      </c>
      <c r="D51" s="8">
        <v>75</v>
      </c>
      <c r="E51" s="7">
        <v>4.43</v>
      </c>
      <c r="F51" s="8">
        <v>172</v>
      </c>
      <c r="G51" s="7">
        <v>336.33</v>
      </c>
      <c r="H51" s="10"/>
    </row>
    <row r="52" spans="1:8" ht="12.75">
      <c r="A52" s="2"/>
      <c r="B52" s="2">
        <v>0.7114</v>
      </c>
      <c r="C52" s="36">
        <v>0.6545</v>
      </c>
      <c r="D52" s="2">
        <v>1.7094</v>
      </c>
      <c r="E52" s="2">
        <v>1.8324</v>
      </c>
      <c r="F52" s="2">
        <v>1.8695</v>
      </c>
      <c r="G52" s="2">
        <v>0.6053</v>
      </c>
      <c r="H52" s="10"/>
    </row>
    <row r="53" spans="1:8" ht="12.75">
      <c r="A53" s="2"/>
      <c r="B53" s="11">
        <f>+ROUNDUP((B51*B52),2)</f>
        <v>12.32</v>
      </c>
      <c r="C53" s="37">
        <f>+ROUNDUP((C51*C52),2)</f>
        <v>35.98</v>
      </c>
      <c r="D53" s="1">
        <f>+TRUNC((D51*D52),0)</f>
        <v>128</v>
      </c>
      <c r="E53" s="11">
        <f>+TRUNC((E51*E52),2)</f>
        <v>8.11</v>
      </c>
      <c r="F53" s="1">
        <f>+TRUNC((F51*F52),0)</f>
        <v>321</v>
      </c>
      <c r="G53" s="11">
        <f>+ROUNDUP((G51*G52),2)</f>
        <v>203.59</v>
      </c>
      <c r="H53" s="10"/>
    </row>
    <row r="54" spans="1:9" ht="12.75">
      <c r="A54" s="1"/>
      <c r="B54" s="8">
        <f>TRUNC(9.23076*(26.7-B53)^1.835)</f>
        <v>1229</v>
      </c>
      <c r="C54" s="38">
        <f>TRUNC(4.99087*(42.5-C53)^1.81)</f>
        <v>148</v>
      </c>
      <c r="D54" s="8">
        <f>TRUNC(1.84523*(D53-75)^1.348)</f>
        <v>389</v>
      </c>
      <c r="E54" s="8">
        <f>TRUNC(56.0211*(E53-1.5)^1.05)</f>
        <v>406</v>
      </c>
      <c r="F54" s="8">
        <f>TRUNC(0.188807*(F53-210)^1.41)</f>
        <v>144</v>
      </c>
      <c r="G54" s="8">
        <f>TRUNC(0.11193*(254-G53)^1.88)</f>
        <v>177</v>
      </c>
      <c r="H54" s="8">
        <f>B54+D54+E54+F54+G54</f>
        <v>2345</v>
      </c>
      <c r="I54" s="15">
        <f>C54+D54+E54+F54+G54</f>
        <v>1264</v>
      </c>
    </row>
    <row r="55" spans="2:7" ht="12.75">
      <c r="B55" s="16"/>
      <c r="C55" s="30"/>
      <c r="D55" s="2"/>
      <c r="E55" s="2"/>
      <c r="F55" s="2"/>
      <c r="G55" s="2"/>
    </row>
    <row r="56" spans="1:8" ht="12.75">
      <c r="A56" s="10">
        <v>80</v>
      </c>
      <c r="B56" s="7">
        <v>17.31</v>
      </c>
      <c r="C56" s="35">
        <v>54.96</v>
      </c>
      <c r="D56" s="8">
        <v>75</v>
      </c>
      <c r="E56" s="7">
        <v>4.43</v>
      </c>
      <c r="F56" s="8">
        <v>172</v>
      </c>
      <c r="G56" s="7">
        <v>336.33</v>
      </c>
      <c r="H56" s="10"/>
    </row>
    <row r="57" spans="1:8" ht="12.75">
      <c r="A57" s="2"/>
      <c r="B57" s="2">
        <v>0.5946</v>
      </c>
      <c r="C57" s="36">
        <v>0.5857</v>
      </c>
      <c r="D57" s="2">
        <v>1.8681</v>
      </c>
      <c r="E57" s="2">
        <v>2.0742</v>
      </c>
      <c r="F57" s="2">
        <v>2.1645</v>
      </c>
      <c r="G57" s="2">
        <v>0.522</v>
      </c>
      <c r="H57" s="10"/>
    </row>
    <row r="58" spans="1:8" ht="12.75">
      <c r="A58" s="2"/>
      <c r="B58" s="11">
        <f>+ROUNDUP((B56*B57),2)</f>
        <v>10.299999999999999</v>
      </c>
      <c r="C58" s="37">
        <f>+ROUNDUP((C56*C57),2)</f>
        <v>32.199999999999996</v>
      </c>
      <c r="D58" s="1">
        <f>+TRUNC((D56*D57),0)</f>
        <v>140</v>
      </c>
      <c r="E58" s="11">
        <f>+TRUNC((E56*E57),2)</f>
        <v>9.18</v>
      </c>
      <c r="F58" s="1">
        <f>+TRUNC((F56*F57),0)</f>
        <v>372</v>
      </c>
      <c r="G58" s="11">
        <f>+ROUNDUP((G56*G57),2)</f>
        <v>175.57</v>
      </c>
      <c r="H58" s="10"/>
    </row>
    <row r="59" spans="1:9" ht="12.75">
      <c r="A59" s="1"/>
      <c r="B59" s="8">
        <f>TRUNC(9.23076*(26.7-B58)^1.835)</f>
        <v>1564</v>
      </c>
      <c r="C59" s="38">
        <f>TRUNC(4.99087*(42.5-C58)^1.81)</f>
        <v>339</v>
      </c>
      <c r="D59" s="8">
        <f>TRUNC(1.84523*(D58-75)^1.348)</f>
        <v>512</v>
      </c>
      <c r="E59" s="8">
        <f>TRUNC(56.0211*(E58-1.5)^1.05)</f>
        <v>476</v>
      </c>
      <c r="F59" s="8">
        <f>TRUNC(0.188807*(F58-210)^1.41)</f>
        <v>246</v>
      </c>
      <c r="G59" s="8">
        <f>TRUNC(0.11193*(254-G58)^1.88)</f>
        <v>407</v>
      </c>
      <c r="H59" s="8">
        <f>B59+D59+E59+F59+G59</f>
        <v>3205</v>
      </c>
      <c r="I59" s="15">
        <f>C59+D59+E59+F59+G59</f>
        <v>1980</v>
      </c>
    </row>
    <row r="60" spans="2:7" ht="12.75">
      <c r="B60" s="16"/>
      <c r="C60" s="30"/>
      <c r="D60" s="2"/>
      <c r="E60" s="2"/>
      <c r="F60" s="2"/>
      <c r="G60" s="2"/>
    </row>
    <row r="61" spans="1:8" ht="12.75">
      <c r="A61" s="10">
        <v>85</v>
      </c>
      <c r="B61" s="7">
        <v>17.31</v>
      </c>
      <c r="C61" s="35">
        <v>54.96</v>
      </c>
      <c r="D61" s="8">
        <v>75</v>
      </c>
      <c r="E61" s="7">
        <v>4.43</v>
      </c>
      <c r="F61" s="8">
        <v>172</v>
      </c>
      <c r="G61" s="7">
        <v>336.33</v>
      </c>
      <c r="H61" s="10"/>
    </row>
    <row r="62" spans="1:8" ht="12.75">
      <c r="A62" s="2"/>
      <c r="B62" s="2">
        <v>0.4391</v>
      </c>
      <c r="C62" s="36">
        <v>0.4932</v>
      </c>
      <c r="D62" s="2">
        <v>2.0673</v>
      </c>
      <c r="E62" s="2">
        <v>2.3894</v>
      </c>
      <c r="F62" s="2">
        <v>2.9154</v>
      </c>
      <c r="G62" s="2">
        <v>0.4228</v>
      </c>
      <c r="H62" s="10"/>
    </row>
    <row r="63" spans="1:8" ht="12.75">
      <c r="A63" s="2"/>
      <c r="B63" s="11">
        <f>+ROUNDUP((B61*B62),2)</f>
        <v>7.609999999999999</v>
      </c>
      <c r="C63" s="37">
        <f>+ROUNDUP((C61*C62),2)</f>
        <v>27.110000000000003</v>
      </c>
      <c r="D63" s="1">
        <f>+TRUNC((D61*D62),0)</f>
        <v>155</v>
      </c>
      <c r="E63" s="11">
        <f>+TRUNC((E61*E62),2)</f>
        <v>10.58</v>
      </c>
      <c r="F63" s="1">
        <f>+TRUNC((F61*F62),0)</f>
        <v>501</v>
      </c>
      <c r="G63" s="11">
        <f>+ROUNDUP((G61*G62),2)</f>
        <v>142.20999999999998</v>
      </c>
      <c r="H63" s="10"/>
    </row>
    <row r="64" spans="1:9" ht="12.75">
      <c r="A64" s="1"/>
      <c r="B64" s="8">
        <f>TRUNC(9.23076*(26.7-B63)^1.835)</f>
        <v>2067</v>
      </c>
      <c r="C64" s="38">
        <f>TRUNC(4.99087*(42.5-C63)^1.81)</f>
        <v>703</v>
      </c>
      <c r="D64" s="8">
        <f>TRUNC(1.84523*(D63-75)^1.348)</f>
        <v>678</v>
      </c>
      <c r="E64" s="8">
        <f>TRUNC(56.0211*(E63-1.5)^1.05)</f>
        <v>567</v>
      </c>
      <c r="F64" s="8">
        <f>TRUNC(0.188807*(F63-210)^1.41)</f>
        <v>562</v>
      </c>
      <c r="G64" s="8">
        <f>TRUNC(0.11193*(254-G63)^1.88)</f>
        <v>794</v>
      </c>
      <c r="H64" s="8">
        <f>B64+D64+E64+F64+G64</f>
        <v>4668</v>
      </c>
      <c r="I64" s="15">
        <f>C64+D64+E64+F64+G64</f>
        <v>3304</v>
      </c>
    </row>
    <row r="65" spans="2:7" ht="12.75">
      <c r="B65" s="16"/>
      <c r="C65" s="30"/>
      <c r="D65" s="2"/>
      <c r="E65" s="2"/>
      <c r="F65" s="2"/>
      <c r="G65" s="2"/>
    </row>
    <row r="66" spans="1:8" ht="12.75">
      <c r="A66" s="10">
        <v>90</v>
      </c>
      <c r="B66" s="7">
        <v>17.31</v>
      </c>
      <c r="C66" s="35">
        <v>62.23</v>
      </c>
      <c r="D66" s="8">
        <v>82</v>
      </c>
      <c r="E66" s="7">
        <v>3.71</v>
      </c>
      <c r="F66" s="8">
        <v>172</v>
      </c>
      <c r="G66" s="7">
        <v>415</v>
      </c>
      <c r="H66" s="10"/>
    </row>
    <row r="67" spans="1:8" ht="12.75">
      <c r="A67" s="2"/>
      <c r="B67" s="2">
        <v>0.2209</v>
      </c>
      <c r="C67" s="36">
        <v>0.36</v>
      </c>
      <c r="D67" s="2">
        <v>2.3261</v>
      </c>
      <c r="E67" s="2">
        <v>2.8176</v>
      </c>
      <c r="F67" s="2">
        <v>3.2696</v>
      </c>
      <c r="G67" s="2">
        <v>0.3052</v>
      </c>
      <c r="H67" s="10"/>
    </row>
    <row r="68" spans="1:8" ht="12.75">
      <c r="A68" s="2"/>
      <c r="B68" s="11">
        <f>+ROUNDUP((B66*B67),2)</f>
        <v>3.8299999999999996</v>
      </c>
      <c r="C68" s="37">
        <f>+ROUNDUP((C66*C67),2)</f>
        <v>22.41</v>
      </c>
      <c r="D68" s="1">
        <f>+TRUNC((D66*D67),0)</f>
        <v>190</v>
      </c>
      <c r="E68" s="11">
        <f>+TRUNC((E66*E67),2)</f>
        <v>10.45</v>
      </c>
      <c r="F68" s="1">
        <f>+TRUNC((F66*F67),0)</f>
        <v>562</v>
      </c>
      <c r="G68" s="11">
        <f>+ROUNDUP((G66*G67),2)</f>
        <v>126.66000000000001</v>
      </c>
      <c r="H68" s="10"/>
    </row>
    <row r="69" spans="1:9" ht="12.75">
      <c r="A69" s="1"/>
      <c r="B69" s="8">
        <f>TRUNC(9.23076*(26.7-B68)^1.835)</f>
        <v>2880</v>
      </c>
      <c r="C69" s="38">
        <f>TRUNC(4.99087*(42.5-C68)^1.81)</f>
        <v>1139</v>
      </c>
      <c r="D69" s="8">
        <f>TRUNC(1.84523*(D68-75)^1.348)</f>
        <v>1106</v>
      </c>
      <c r="E69" s="8">
        <f>TRUNC(56.0211*(E68-1.5)^1.05)</f>
        <v>559</v>
      </c>
      <c r="F69" s="8">
        <f>TRUNC(0.188807*(F68-210)^1.41)</f>
        <v>735</v>
      </c>
      <c r="G69" s="8">
        <f>TRUNC(0.11193*(254-G68)^1.88)</f>
        <v>1014</v>
      </c>
      <c r="H69" s="8"/>
      <c r="I69" s="15"/>
    </row>
    <row r="70" spans="2:7" ht="12.75">
      <c r="B70" s="16"/>
      <c r="D70" s="2"/>
      <c r="E70" s="2"/>
      <c r="F70" s="2"/>
      <c r="G70" s="2"/>
    </row>
    <row r="71" spans="1:8" ht="12.75">
      <c r="A71" s="10">
        <v>95</v>
      </c>
      <c r="B71" s="7">
        <v>17.31</v>
      </c>
      <c r="C71" s="35">
        <v>62.23</v>
      </c>
      <c r="D71" s="8">
        <v>999</v>
      </c>
      <c r="E71" s="7">
        <v>99.99</v>
      </c>
      <c r="F71" s="8">
        <v>172</v>
      </c>
      <c r="G71" s="7">
        <v>415</v>
      </c>
      <c r="H71" s="10"/>
    </row>
    <row r="72" spans="1:8" ht="12.75">
      <c r="A72" s="2"/>
      <c r="B72" s="57">
        <v>0.1803</v>
      </c>
      <c r="C72" s="36">
        <v>0.2938</v>
      </c>
      <c r="D72" s="2">
        <v>2.6766</v>
      </c>
      <c r="E72" s="2">
        <v>3.4328</v>
      </c>
      <c r="F72" s="2">
        <v>4.4235</v>
      </c>
      <c r="G72" s="2">
        <v>0.2554</v>
      </c>
      <c r="H72" s="10"/>
    </row>
    <row r="73" spans="1:8" ht="12.75">
      <c r="A73" s="2"/>
      <c r="B73" s="11">
        <f>+ROUNDUP((B71*B72),2)</f>
        <v>3.13</v>
      </c>
      <c r="C73" s="37">
        <f>+ROUNDUP((C71*C72),2)</f>
        <v>18.290000000000003</v>
      </c>
      <c r="D73" s="1">
        <f>+TRUNC((D71*D72),0)</f>
        <v>2673</v>
      </c>
      <c r="E73" s="11">
        <f>+TRUNC((E71*E72),2)</f>
        <v>343.24</v>
      </c>
      <c r="F73" s="1">
        <f>+TRUNC((F71*F72),0)</f>
        <v>760</v>
      </c>
      <c r="G73" s="11">
        <f>+ROUNDUP((G71*G72),2)</f>
        <v>106</v>
      </c>
      <c r="H73" s="10"/>
    </row>
    <row r="74" spans="1:9" ht="12.75">
      <c r="A74" s="1"/>
      <c r="B74" s="8">
        <f>TRUNC(9.23076*(26.7-B73)^1.835)</f>
        <v>3044</v>
      </c>
      <c r="C74" s="38">
        <f>TRUNC(4.99087*(42.5-C73)^1.81)</f>
        <v>1596</v>
      </c>
      <c r="D74" s="8">
        <f>TRUNC(1.84523*(D73-75)^1.348)</f>
        <v>73957</v>
      </c>
      <c r="E74" s="8">
        <f>TRUNC(56.0211*(E73-1.5)^1.05)</f>
        <v>25629</v>
      </c>
      <c r="F74" s="8">
        <f>TRUNC(0.188807*(F73-210)^1.41)</f>
        <v>1380</v>
      </c>
      <c r="G74" s="8">
        <f>TRUNC(0.11193*(254-G73)^1.88)</f>
        <v>1345</v>
      </c>
      <c r="H74" s="8"/>
      <c r="I74" s="15"/>
    </row>
    <row r="75" spans="2:7" ht="12.75">
      <c r="B75" s="4"/>
      <c r="D75" s="2"/>
      <c r="E75" s="2"/>
      <c r="F75" s="2"/>
      <c r="G75" s="2"/>
    </row>
    <row r="76" spans="1:8" ht="12.75">
      <c r="A76" s="10" t="s">
        <v>9</v>
      </c>
      <c r="B76" s="7">
        <v>17.31</v>
      </c>
      <c r="C76" s="35">
        <v>62.23</v>
      </c>
      <c r="D76" s="8">
        <v>999</v>
      </c>
      <c r="E76" s="7">
        <v>99.9</v>
      </c>
      <c r="F76" s="8">
        <v>172</v>
      </c>
      <c r="G76" s="7">
        <v>415</v>
      </c>
      <c r="H76" s="10"/>
    </row>
    <row r="77" spans="1:8" ht="12.75">
      <c r="A77" s="2"/>
      <c r="B77" s="57">
        <v>0.1312</v>
      </c>
      <c r="C77" s="36">
        <v>0.1917</v>
      </c>
      <c r="D77" s="2">
        <v>3.2</v>
      </c>
      <c r="E77" s="2">
        <v>4.3917</v>
      </c>
      <c r="F77" s="2">
        <v>7.52</v>
      </c>
      <c r="G77" s="2">
        <v>0.2007</v>
      </c>
      <c r="H77" s="10"/>
    </row>
    <row r="78" spans="1:8" ht="12.75">
      <c r="A78" s="2"/>
      <c r="B78" s="11">
        <f>+ROUNDUP((B76*B77),2)</f>
        <v>2.28</v>
      </c>
      <c r="C78" s="37">
        <f>+ROUNDUP((C76*C77),2)</f>
        <v>11.93</v>
      </c>
      <c r="D78" s="1">
        <f>+TRUNC((D76*D77),0)</f>
        <v>3196</v>
      </c>
      <c r="E78" s="11">
        <f>+TRUNC((E76*E77),2)</f>
        <v>438.73</v>
      </c>
      <c r="F78" s="1">
        <f>+TRUNC((F76*F77),0)</f>
        <v>1293</v>
      </c>
      <c r="G78" s="11">
        <f>+ROUNDUP((G76*G77),2)</f>
        <v>83.30000000000001</v>
      </c>
      <c r="H78" s="10"/>
    </row>
    <row r="79" spans="1:9" ht="12.75">
      <c r="A79" s="1"/>
      <c r="B79" s="8">
        <f>TRUNC(9.23076*(26.7-B78)^1.835)</f>
        <v>3249</v>
      </c>
      <c r="C79" s="38">
        <f>TRUNC(4.99087*(42.5-C78)^1.81)</f>
        <v>2435</v>
      </c>
      <c r="D79" s="8">
        <f>TRUNC(1.84523*(D78-75)^1.348)</f>
        <v>94701</v>
      </c>
      <c r="E79" s="8">
        <f>TRUNC(56.0211*(E78-1.5)^1.05)</f>
        <v>33196</v>
      </c>
      <c r="F79" s="8">
        <f>TRUNC(0.188807*(F78-210)^1.41)</f>
        <v>3587</v>
      </c>
      <c r="G79" s="8">
        <f>TRUNC(0.11193*(254-G78)^1.88)</f>
        <v>1760</v>
      </c>
      <c r="H79" s="8"/>
      <c r="I79" s="15"/>
    </row>
    <row r="80" spans="2:7" ht="12.75">
      <c r="B80" s="4"/>
      <c r="D80" s="2"/>
      <c r="E80" s="2"/>
      <c r="G80" s="2"/>
    </row>
    <row r="81" spans="4:7" ht="12.75">
      <c r="D81" s="2"/>
      <c r="E81" s="2"/>
      <c r="F81" s="2"/>
      <c r="G81" s="2"/>
    </row>
    <row r="82" spans="4:7" ht="12.75">
      <c r="D82" s="2"/>
      <c r="E82" s="2"/>
      <c r="G82" s="2"/>
    </row>
    <row r="83" spans="4:5" ht="12.75">
      <c r="D83" s="2"/>
      <c r="E83" s="2"/>
    </row>
    <row r="84" spans="4:5" ht="12.75">
      <c r="D84" s="2"/>
      <c r="E84" s="2"/>
    </row>
    <row r="85" spans="4:5" ht="12.75">
      <c r="D85" s="2"/>
      <c r="E85" s="2"/>
    </row>
    <row r="86" spans="4:5" ht="12.75">
      <c r="D86" s="2"/>
      <c r="E86" s="2"/>
    </row>
    <row r="87" spans="4:5" ht="12.75">
      <c r="D87" s="2"/>
      <c r="E87" s="2"/>
    </row>
    <row r="88" spans="4:5" ht="12.75">
      <c r="D88" s="2"/>
      <c r="E88" s="2"/>
    </row>
    <row r="89" spans="4:5" ht="12.75">
      <c r="D89" s="2"/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pane ySplit="1305" topLeftCell="A1" activePane="bottomLeft" state="split"/>
      <selection pane="topLeft" activeCell="A1" sqref="A1"/>
      <selection pane="bottomLeft" activeCell="A3" sqref="A3"/>
    </sheetView>
  </sheetViews>
  <sheetFormatPr defaultColWidth="9.140625" defaultRowHeight="12.75"/>
  <cols>
    <col min="1" max="1" width="9.28125" style="0" bestFit="1" customWidth="1"/>
    <col min="2" max="2" width="11.140625" style="0" customWidth="1"/>
    <col min="3" max="3" width="11.57421875" style="0" customWidth="1"/>
    <col min="4" max="4" width="13.7109375" style="0" customWidth="1"/>
    <col min="5" max="5" width="11.28125" style="0" customWidth="1"/>
    <col min="6" max="6" width="11.00390625" style="0" bestFit="1" customWidth="1"/>
    <col min="7" max="7" width="10.8515625" style="0" bestFit="1" customWidth="1"/>
    <col min="8" max="8" width="12.57421875" style="0" customWidth="1"/>
    <col min="9" max="9" width="11.28125" style="0" customWidth="1"/>
    <col min="10" max="10" width="14.00390625" style="0" customWidth="1"/>
    <col min="11" max="11" width="12.140625" style="0" customWidth="1"/>
    <col min="12" max="12" width="12.7109375" style="0" customWidth="1"/>
    <col min="13" max="13" width="12.140625" style="0" customWidth="1"/>
  </cols>
  <sheetData>
    <row r="1" ht="15.75">
      <c r="A1" s="17" t="s">
        <v>109</v>
      </c>
    </row>
    <row r="3" spans="2:7" ht="12.75">
      <c r="B3" s="27" t="s">
        <v>13</v>
      </c>
      <c r="C3" s="27" t="s">
        <v>2</v>
      </c>
      <c r="D3" s="27" t="s">
        <v>14</v>
      </c>
      <c r="E3" s="27" t="s">
        <v>5</v>
      </c>
      <c r="F3" s="27" t="s">
        <v>15</v>
      </c>
      <c r="G3" t="s">
        <v>12</v>
      </c>
    </row>
    <row r="4" ht="12.75">
      <c r="C4" s="2"/>
    </row>
    <row r="5" spans="1:6" ht="12.75">
      <c r="A5" s="10">
        <v>30</v>
      </c>
      <c r="B5" s="7">
        <v>52.33</v>
      </c>
      <c r="C5" s="7">
        <v>9.77</v>
      </c>
      <c r="D5" s="7">
        <v>29.53</v>
      </c>
      <c r="E5" s="7">
        <v>26.92</v>
      </c>
      <c r="F5" s="7">
        <v>15.78</v>
      </c>
    </row>
    <row r="6" spans="1:6" ht="12.75">
      <c r="A6" s="2"/>
      <c r="B6" s="2">
        <v>1</v>
      </c>
      <c r="C6" s="2">
        <v>1</v>
      </c>
      <c r="D6" s="2">
        <v>1</v>
      </c>
      <c r="E6" s="2">
        <v>1</v>
      </c>
      <c r="F6" s="2">
        <v>1</v>
      </c>
    </row>
    <row r="7" spans="1:6" ht="12.75">
      <c r="A7" s="2"/>
      <c r="B7" s="11">
        <f>+TRUNC((B5*B6),2)</f>
        <v>52.33</v>
      </c>
      <c r="C7" s="11">
        <f>+TRUNC((C5*C6),2)</f>
        <v>9.77</v>
      </c>
      <c r="D7" s="11">
        <f>+TRUNC((D5*D6),2)</f>
        <v>29.53</v>
      </c>
      <c r="E7" s="11">
        <f>+TRUNC((E5*E6),2)</f>
        <v>26.92</v>
      </c>
      <c r="F7" s="11">
        <f>+TRUNC((F5*F6),2)</f>
        <v>15.78</v>
      </c>
    </row>
    <row r="8" spans="1:8" ht="12.75">
      <c r="A8" s="1"/>
      <c r="B8" s="8">
        <f>TRUNC(17.5458*(B7-6)^1.05)</f>
        <v>984</v>
      </c>
      <c r="C8" s="8">
        <f>TRUNC(56.0211*(C7-1.5)^1.05)</f>
        <v>514</v>
      </c>
      <c r="D8" s="8">
        <f>TRUNC(12.3311*(D7-3)^1.1)</f>
        <v>454</v>
      </c>
      <c r="E8" s="8">
        <f>TRUNC(15.9803*(E7-3.8)^1.04)</f>
        <v>418</v>
      </c>
      <c r="F8" s="8">
        <f>TRUNC(52.1403*(F7-1.5)^1.05)</f>
        <v>850</v>
      </c>
      <c r="G8" s="44">
        <f>B8+C8+D8+E8+F8</f>
        <v>3220</v>
      </c>
      <c r="H8" s="42" t="s">
        <v>89</v>
      </c>
    </row>
    <row r="9" spans="3:8" ht="12.75">
      <c r="C9" s="2"/>
      <c r="H9" s="6"/>
    </row>
    <row r="10" spans="1:14" ht="12.75">
      <c r="A10" s="10">
        <v>35</v>
      </c>
      <c r="B10" s="7">
        <v>56.67</v>
      </c>
      <c r="C10" s="7">
        <v>10.9</v>
      </c>
      <c r="D10" s="7">
        <v>33.61</v>
      </c>
      <c r="E10" s="7">
        <v>26.05</v>
      </c>
      <c r="F10" s="7">
        <v>17.15</v>
      </c>
      <c r="G10" s="42"/>
      <c r="H10" s="7"/>
      <c r="I10" s="7"/>
      <c r="J10" s="7"/>
      <c r="K10" s="7"/>
      <c r="L10" s="7"/>
      <c r="M10" s="7"/>
      <c r="N10" s="42"/>
    </row>
    <row r="11" spans="1:8" ht="12.75">
      <c r="A11" s="14"/>
      <c r="B11" s="14">
        <v>1.0942</v>
      </c>
      <c r="C11" s="14">
        <v>1.0368</v>
      </c>
      <c r="D11" s="14">
        <v>1.0368</v>
      </c>
      <c r="E11" s="14">
        <v>1.0621</v>
      </c>
      <c r="F11" s="14">
        <v>1.0922</v>
      </c>
      <c r="G11" s="42"/>
      <c r="H11" s="13"/>
    </row>
    <row r="12" spans="1:8" ht="12.75">
      <c r="A12" s="14"/>
      <c r="B12" s="12">
        <f>+TRUNC((B10*B11),2)</f>
        <v>62</v>
      </c>
      <c r="C12" s="12">
        <f>+TRUNC((C10*C11),2)</f>
        <v>11.3</v>
      </c>
      <c r="D12" s="12">
        <f>+TRUNC((D10*D11),2)</f>
        <v>34.84</v>
      </c>
      <c r="E12" s="12">
        <f>+TRUNC((E10*E11),2)</f>
        <v>27.66</v>
      </c>
      <c r="F12" s="12">
        <f>+TRUNC((F10*F11),2)</f>
        <v>18.73</v>
      </c>
      <c r="G12" s="42"/>
      <c r="H12" s="14"/>
    </row>
    <row r="13" spans="1:10" ht="12.75">
      <c r="A13" s="52"/>
      <c r="B13" s="8">
        <f>TRUNC(17.5458*(B12-6)^1.05)</f>
        <v>1201</v>
      </c>
      <c r="C13" s="8">
        <f>TRUNC(56.0211*(C12-1.5)^1.05)</f>
        <v>615</v>
      </c>
      <c r="D13" s="8">
        <f>TRUNC(12.3311*(D12-3)^1.1)</f>
        <v>554</v>
      </c>
      <c r="E13" s="8">
        <f>TRUNC(15.9803*(E12-3.8)^1.04)</f>
        <v>432</v>
      </c>
      <c r="F13" s="8">
        <f>TRUNC(52.1403*(F12-1.5)^1.05)</f>
        <v>1035</v>
      </c>
      <c r="G13" s="44">
        <f>B13+C13+D13+E13+F13</f>
        <v>3837</v>
      </c>
      <c r="H13" s="60" t="s">
        <v>84</v>
      </c>
      <c r="I13" s="43"/>
      <c r="J13" s="45"/>
    </row>
    <row r="14" spans="2:6" ht="12.75">
      <c r="B14" s="5"/>
      <c r="C14" s="5"/>
      <c r="D14" s="5"/>
      <c r="E14" s="5"/>
      <c r="F14" s="5"/>
    </row>
    <row r="15" spans="1:13" ht="12.75">
      <c r="A15" s="10">
        <v>40</v>
      </c>
      <c r="B15" s="7">
        <v>29.58</v>
      </c>
      <c r="C15" s="7">
        <v>11.2</v>
      </c>
      <c r="D15" s="7">
        <v>38.39</v>
      </c>
      <c r="E15" s="7">
        <v>28.67</v>
      </c>
      <c r="F15" s="7">
        <v>11.18</v>
      </c>
      <c r="H15" s="7"/>
      <c r="I15" s="7"/>
      <c r="J15" s="7"/>
      <c r="K15" s="7"/>
      <c r="L15" s="7"/>
      <c r="M15" s="7"/>
    </row>
    <row r="16" spans="1:6" ht="12.75">
      <c r="A16" s="2"/>
      <c r="B16" s="2">
        <v>1.1763</v>
      </c>
      <c r="C16" s="2">
        <v>1.11</v>
      </c>
      <c r="D16" s="2">
        <v>1.115</v>
      </c>
      <c r="E16" s="2">
        <v>1.1475</v>
      </c>
      <c r="F16" s="2">
        <v>1.1852</v>
      </c>
    </row>
    <row r="17" spans="1:6" ht="12.75">
      <c r="A17" s="2"/>
      <c r="B17" s="11">
        <f>+TRUNC((B15*B16),2)</f>
        <v>34.79</v>
      </c>
      <c r="C17" s="11">
        <f>+TRUNC((C15*C16),2)</f>
        <v>12.43</v>
      </c>
      <c r="D17" s="11">
        <f>+TRUNC((D15*D16),2)</f>
        <v>42.8</v>
      </c>
      <c r="E17" s="11">
        <f>+TRUNC((E15*E16),2)</f>
        <v>32.89</v>
      </c>
      <c r="F17" s="11">
        <f>+TRUNC((F15*F16),2)</f>
        <v>13.25</v>
      </c>
    </row>
    <row r="18" spans="1:8" ht="12.75">
      <c r="A18" s="8"/>
      <c r="B18" s="8">
        <f>TRUNC(17.5458*(B17-6)^1.05)</f>
        <v>597</v>
      </c>
      <c r="C18" s="8">
        <f>TRUNC(56.0211*(C17-1.5)^1.05)</f>
        <v>690</v>
      </c>
      <c r="D18" s="8">
        <f>TRUNC(12.3311*(D17-3)^1.1)</f>
        <v>709</v>
      </c>
      <c r="E18" s="8">
        <f>TRUNC(15.9803*(E17-3.8)^1.04)</f>
        <v>531</v>
      </c>
      <c r="F18" s="8">
        <f>TRUNC(52.1403*(F17-1.5)^1.05)</f>
        <v>692</v>
      </c>
      <c r="G18" s="15">
        <f>B18+C18+D18+E18+F18</f>
        <v>3219</v>
      </c>
      <c r="H18" t="s">
        <v>74</v>
      </c>
    </row>
    <row r="19" spans="1:6" ht="12.75">
      <c r="A19" s="6"/>
      <c r="B19" s="5"/>
      <c r="C19" s="5"/>
      <c r="D19" s="5"/>
      <c r="E19" s="5"/>
      <c r="F19" s="5"/>
    </row>
    <row r="20" spans="1:13" ht="12.75">
      <c r="A20" s="10">
        <v>45</v>
      </c>
      <c r="B20" s="7">
        <v>32.85</v>
      </c>
      <c r="C20" s="7">
        <v>11.03</v>
      </c>
      <c r="D20" s="7">
        <v>37.21</v>
      </c>
      <c r="E20" s="7">
        <v>35.42</v>
      </c>
      <c r="F20" s="7">
        <v>11.71</v>
      </c>
      <c r="G20" s="42"/>
      <c r="I20" s="7"/>
      <c r="J20" s="7"/>
      <c r="K20" s="7"/>
      <c r="L20" s="7"/>
      <c r="M20" s="7"/>
    </row>
    <row r="21" spans="1:6" ht="12.75">
      <c r="A21" s="2"/>
      <c r="B21" s="2">
        <v>1.2717</v>
      </c>
      <c r="C21" s="2">
        <v>1.1943</v>
      </c>
      <c r="D21" s="2">
        <v>1.2058</v>
      </c>
      <c r="E21" s="2">
        <v>1.2479</v>
      </c>
      <c r="F21" s="2">
        <v>1.2955</v>
      </c>
    </row>
    <row r="22" spans="1:6" ht="12.75">
      <c r="A22" s="2"/>
      <c r="B22" s="11">
        <f>+TRUNC((B20*B21),2)</f>
        <v>41.77</v>
      </c>
      <c r="C22" s="11">
        <f>+TRUNC((C20*C21),2)</f>
        <v>13.17</v>
      </c>
      <c r="D22" s="11">
        <f>+TRUNC((D20*D21),2)</f>
        <v>44.86</v>
      </c>
      <c r="E22" s="11">
        <f>+TRUNC((E20*E21),2)</f>
        <v>44.2</v>
      </c>
      <c r="F22" s="11">
        <f>+TRUNC((F20*F21),2)</f>
        <v>15.17</v>
      </c>
    </row>
    <row r="23" spans="1:8" ht="12.75">
      <c r="A23" s="1"/>
      <c r="B23" s="8">
        <f>TRUNC(17.5458*(B22-6)^1.05)</f>
        <v>750</v>
      </c>
      <c r="C23" s="8">
        <f>TRUNC(56.0211*(C22-1.5)^1.05)</f>
        <v>739</v>
      </c>
      <c r="D23" s="8">
        <f>TRUNC(12.3311*(D22-3)^1.1)</f>
        <v>749</v>
      </c>
      <c r="E23" s="8">
        <f>TRUNC(15.9803*(E22-3.8)^1.04)</f>
        <v>748</v>
      </c>
      <c r="F23" s="8">
        <f>TRUNC(52.1403*(F22-1.5)^1.05)</f>
        <v>812</v>
      </c>
      <c r="G23" s="44">
        <f>B23+C23+D23+E23+F23</f>
        <v>3798</v>
      </c>
      <c r="H23" t="s">
        <v>75</v>
      </c>
    </row>
    <row r="24" spans="2:6" ht="12.75">
      <c r="B24" s="3"/>
      <c r="C24" s="3"/>
      <c r="D24" s="3"/>
      <c r="E24" s="3"/>
      <c r="F24" s="3"/>
    </row>
    <row r="25" spans="1:12" ht="12.75">
      <c r="A25" s="10">
        <v>50</v>
      </c>
      <c r="B25" s="7">
        <v>39.27</v>
      </c>
      <c r="C25" s="7">
        <v>11.66</v>
      </c>
      <c r="D25" s="7">
        <v>34.28</v>
      </c>
      <c r="E25" s="7">
        <v>31.02</v>
      </c>
      <c r="F25" s="7">
        <v>13.47</v>
      </c>
      <c r="H25" s="7"/>
      <c r="I25" s="7"/>
      <c r="J25" s="7"/>
      <c r="K25" s="7"/>
      <c r="L25" s="7"/>
    </row>
    <row r="26" spans="1:6" ht="12.75">
      <c r="A26" s="2"/>
      <c r="B26" s="2">
        <v>1.2838</v>
      </c>
      <c r="C26" s="2">
        <v>1.2607</v>
      </c>
      <c r="D26" s="2">
        <v>1.3128</v>
      </c>
      <c r="E26" s="2">
        <v>1.3147</v>
      </c>
      <c r="F26" s="2">
        <v>1.1822</v>
      </c>
    </row>
    <row r="27" spans="1:6" ht="12.75">
      <c r="A27" s="2"/>
      <c r="B27" s="11">
        <f>+TRUNC((B25*B26),2)</f>
        <v>50.41</v>
      </c>
      <c r="C27" s="11">
        <f>+TRUNC((C25*C26),2)</f>
        <v>14.69</v>
      </c>
      <c r="D27" s="11">
        <f>+TRUNC((D25*D26),2)</f>
        <v>45</v>
      </c>
      <c r="E27" s="11">
        <f>+TRUNC((E25*E26),2)</f>
        <v>40.78</v>
      </c>
      <c r="F27" s="11">
        <f>+TRUNC((F25*F26),2)</f>
        <v>15.92</v>
      </c>
    </row>
    <row r="28" spans="1:8" ht="12.75">
      <c r="A28" s="1"/>
      <c r="B28" s="8">
        <f>TRUNC(17.5458*(B27-6)^1.05)</f>
        <v>941</v>
      </c>
      <c r="C28" s="8">
        <f>TRUNC(56.0211*(C27-1.5)^1.05)</f>
        <v>840</v>
      </c>
      <c r="D28" s="8">
        <f>TRUNC(12.3311*(D27-3)^1.1)</f>
        <v>752</v>
      </c>
      <c r="E28" s="8">
        <f>TRUNC(15.9803*(E27-3.8)^1.04)</f>
        <v>682</v>
      </c>
      <c r="F28" s="8">
        <f>TRUNC(52.1403*(F27-1.5)^1.05)</f>
        <v>859</v>
      </c>
      <c r="G28" s="15">
        <f>B28+C28+D28+E28+F28</f>
        <v>4074</v>
      </c>
      <c r="H28" t="s">
        <v>75</v>
      </c>
    </row>
    <row r="29" spans="2:6" ht="12.75">
      <c r="B29" s="3"/>
      <c r="C29" s="3"/>
      <c r="D29" s="3"/>
      <c r="E29" s="3"/>
      <c r="F29" s="3"/>
    </row>
    <row r="30" spans="1:13" ht="12.75">
      <c r="A30" s="10">
        <v>55</v>
      </c>
      <c r="B30" s="7">
        <v>36.46</v>
      </c>
      <c r="C30" s="7">
        <v>10.35</v>
      </c>
      <c r="D30" s="7">
        <v>29.56</v>
      </c>
      <c r="E30" s="7">
        <v>30.02</v>
      </c>
      <c r="F30" s="7">
        <v>12.61</v>
      </c>
      <c r="G30" s="42"/>
      <c r="I30" s="7"/>
      <c r="J30" s="7"/>
      <c r="K30" s="7"/>
      <c r="L30" s="7"/>
      <c r="M30" s="7"/>
    </row>
    <row r="31" spans="1:7" ht="12.75">
      <c r="A31" s="14"/>
      <c r="B31" s="14">
        <v>1.3984</v>
      </c>
      <c r="C31" s="14">
        <v>1.3706</v>
      </c>
      <c r="D31" s="14">
        <v>1.4407</v>
      </c>
      <c r="E31" s="14">
        <v>1.4482</v>
      </c>
      <c r="F31" s="14">
        <v>1.2918</v>
      </c>
      <c r="G31" s="42"/>
    </row>
    <row r="32" spans="1:7" ht="12.75">
      <c r="A32" s="14"/>
      <c r="B32" s="12">
        <f>+TRUNC((B30*B31),2)</f>
        <v>50.98</v>
      </c>
      <c r="C32" s="12">
        <f>+TRUNC((C30*C31),2)</f>
        <v>14.18</v>
      </c>
      <c r="D32" s="12">
        <f>+TRUNC((D30*D31),2)</f>
        <v>42.58</v>
      </c>
      <c r="E32" s="12">
        <f>+TRUNC((E30*E31),2)</f>
        <v>43.47</v>
      </c>
      <c r="F32" s="12">
        <f>+TRUNC((F30*F31),2)</f>
        <v>16.28</v>
      </c>
      <c r="G32" s="42"/>
    </row>
    <row r="33" spans="1:10" ht="12.75">
      <c r="A33" s="52"/>
      <c r="B33" s="8">
        <f>TRUNC(17.5458*(B32-6)^1.05)</f>
        <v>954</v>
      </c>
      <c r="C33" s="8">
        <f>TRUNC(56.0211*(C32-1.5)^1.05)</f>
        <v>806</v>
      </c>
      <c r="D33" s="8">
        <f>TRUNC(12.3311*(D32-3)^1.1)</f>
        <v>705</v>
      </c>
      <c r="E33" s="8">
        <f>TRUNC(15.9803*(E32-3.8)^1.04)</f>
        <v>734</v>
      </c>
      <c r="F33" s="8">
        <f>TRUNC(52.1403*(F32-1.5)^1.05)</f>
        <v>881</v>
      </c>
      <c r="G33" s="44">
        <f>B33+C33+D33+E33+F33</f>
        <v>4080</v>
      </c>
      <c r="H33" t="s">
        <v>76</v>
      </c>
      <c r="J33" s="47"/>
    </row>
    <row r="34" spans="1:6" ht="12.75">
      <c r="A34" t="s">
        <v>0</v>
      </c>
      <c r="B34" s="2"/>
      <c r="C34" s="2"/>
      <c r="D34" s="2"/>
      <c r="E34" s="2"/>
      <c r="F34" s="2"/>
    </row>
    <row r="35" spans="1:12" ht="12.75">
      <c r="A35" s="10">
        <v>60</v>
      </c>
      <c r="B35" s="7">
        <v>30.23</v>
      </c>
      <c r="C35" s="7">
        <v>10.37</v>
      </c>
      <c r="D35" s="7">
        <v>31.64</v>
      </c>
      <c r="E35" s="7">
        <v>25.34</v>
      </c>
      <c r="F35" s="7">
        <v>12.83</v>
      </c>
      <c r="H35" s="7"/>
      <c r="I35" s="7"/>
      <c r="J35" s="7"/>
      <c r="K35" s="7"/>
      <c r="L35" s="7"/>
    </row>
    <row r="36" spans="1:6" ht="12.75">
      <c r="A36" s="2"/>
      <c r="B36" s="2">
        <v>1.5353</v>
      </c>
      <c r="C36" s="2">
        <v>1.5015</v>
      </c>
      <c r="D36" s="2">
        <v>1.5961</v>
      </c>
      <c r="E36" s="57">
        <v>1.6118</v>
      </c>
      <c r="F36" s="2">
        <v>1.2108</v>
      </c>
    </row>
    <row r="37" spans="1:6" ht="12.75">
      <c r="A37" s="2"/>
      <c r="B37" s="11">
        <f>+TRUNC((B35*B36),2)</f>
        <v>46.41</v>
      </c>
      <c r="C37" s="11">
        <f>+TRUNC((C35*C36),2)</f>
        <v>15.57</v>
      </c>
      <c r="D37" s="11">
        <f>+TRUNC((D35*D36),2)</f>
        <v>50.5</v>
      </c>
      <c r="E37" s="11">
        <f>+TRUNC((E35*E36),2)</f>
        <v>40.84</v>
      </c>
      <c r="F37" s="11">
        <f>+TRUNC((F35*F36),2)</f>
        <v>15.53</v>
      </c>
    </row>
    <row r="38" spans="1:9" ht="12.75">
      <c r="A38" s="1"/>
      <c r="B38" s="8">
        <f>TRUNC(17.5458*(B37-6)^1.05)</f>
        <v>853</v>
      </c>
      <c r="C38" s="8">
        <f>TRUNC(56.0211*(C37-1.5)^1.05)</f>
        <v>899</v>
      </c>
      <c r="D38" s="8">
        <f>TRUNC(12.3311*(D37-3)^1.1)</f>
        <v>861</v>
      </c>
      <c r="E38" s="8">
        <f>TRUNC(15.9803*(E37-3.8)^1.04)</f>
        <v>683</v>
      </c>
      <c r="F38" s="8">
        <f>TRUNC(52.1403*(F37-1.5)^1.05)</f>
        <v>834</v>
      </c>
      <c r="G38" s="64">
        <f>B38+C38+D38+E38+F38</f>
        <v>4130</v>
      </c>
      <c r="H38" t="s">
        <v>73</v>
      </c>
      <c r="I38" s="54" t="s">
        <v>114</v>
      </c>
    </row>
    <row r="39" spans="2:6" ht="12.75">
      <c r="B39" s="3"/>
      <c r="C39" s="3"/>
      <c r="D39" s="3"/>
      <c r="E39" s="3"/>
      <c r="F39" s="3"/>
    </row>
    <row r="40" spans="1:13" ht="12.75">
      <c r="A40" s="10">
        <v>65</v>
      </c>
      <c r="B40" s="7">
        <v>35.03</v>
      </c>
      <c r="C40" s="7">
        <v>10.16</v>
      </c>
      <c r="D40" s="7">
        <v>29.44</v>
      </c>
      <c r="E40" s="7">
        <v>25.48</v>
      </c>
      <c r="F40" s="7">
        <v>13.34</v>
      </c>
      <c r="H40" s="7"/>
      <c r="I40" s="7"/>
      <c r="J40" s="7"/>
      <c r="K40" s="7"/>
      <c r="L40" s="7"/>
      <c r="M40" s="7"/>
    </row>
    <row r="41" spans="1:6" ht="12.75">
      <c r="A41" s="2"/>
      <c r="B41" s="2">
        <v>1.7038</v>
      </c>
      <c r="C41" s="2">
        <v>1.66</v>
      </c>
      <c r="D41" s="2">
        <v>1.7927</v>
      </c>
      <c r="E41" s="57">
        <v>1.8171</v>
      </c>
      <c r="F41" s="2">
        <v>1.326</v>
      </c>
    </row>
    <row r="42" spans="1:6" ht="12.75">
      <c r="A42" s="2"/>
      <c r="B42" s="11">
        <f>+TRUNC((B40*B41),2)</f>
        <v>59.68</v>
      </c>
      <c r="C42" s="11">
        <f>+TRUNC((C40*C41),2)</f>
        <v>16.86</v>
      </c>
      <c r="D42" s="11">
        <f>+TRUNC((D40*D41),2)</f>
        <v>52.77</v>
      </c>
      <c r="E42" s="11">
        <f>+TRUNC((E40*E41),2)</f>
        <v>46.29</v>
      </c>
      <c r="F42" s="11">
        <f>+TRUNC((F40*F41),2)</f>
        <v>17.68</v>
      </c>
    </row>
    <row r="43" spans="1:10" ht="12.75">
      <c r="A43" s="1"/>
      <c r="B43" s="8">
        <f>TRUNC(17.5458*(B42-6)^1.05)</f>
        <v>1149</v>
      </c>
      <c r="C43" s="8">
        <f>TRUNC(56.0211*(C42-1.5)^1.05)</f>
        <v>986</v>
      </c>
      <c r="D43" s="8">
        <f>TRUNC(12.3311*(D42-3)^1.1)</f>
        <v>907</v>
      </c>
      <c r="E43" s="8">
        <f>TRUNC(15.9803*(E42-3.8)^1.04)</f>
        <v>788</v>
      </c>
      <c r="F43" s="8">
        <f>TRUNC(52.1403*(F42-1.5)^1.05)</f>
        <v>969</v>
      </c>
      <c r="G43" s="64">
        <f>B43+C43+D43+E43+F43</f>
        <v>4799</v>
      </c>
      <c r="H43" t="s">
        <v>73</v>
      </c>
      <c r="I43" s="54" t="s">
        <v>115</v>
      </c>
      <c r="J43" s="45"/>
    </row>
    <row r="44" ht="12.75">
      <c r="C44" s="2"/>
    </row>
    <row r="45" spans="1:14" ht="12.75">
      <c r="A45" s="10">
        <v>70</v>
      </c>
      <c r="B45" s="7">
        <v>25.27</v>
      </c>
      <c r="C45" s="7">
        <v>8.34</v>
      </c>
      <c r="D45" s="7">
        <v>21.2</v>
      </c>
      <c r="E45" s="7">
        <v>23.63</v>
      </c>
      <c r="F45" s="7">
        <v>11.72</v>
      </c>
      <c r="H45" s="7"/>
      <c r="I45" s="10"/>
      <c r="J45" s="7"/>
      <c r="K45" s="7"/>
      <c r="L45" s="7"/>
      <c r="M45" s="7"/>
      <c r="N45" s="7"/>
    </row>
    <row r="46" spans="1:8" ht="12.75">
      <c r="A46" s="14"/>
      <c r="B46" s="14">
        <v>1.916</v>
      </c>
      <c r="C46" s="14">
        <v>1.8559</v>
      </c>
      <c r="D46" s="14">
        <v>2.0542</v>
      </c>
      <c r="E46" s="59">
        <v>2.0992</v>
      </c>
      <c r="F46" s="14">
        <v>1.4667</v>
      </c>
      <c r="G46" s="42"/>
      <c r="H46" s="42"/>
    </row>
    <row r="47" spans="1:8" ht="12.75">
      <c r="A47" s="14"/>
      <c r="B47" s="12">
        <f>+TRUNC((B45*B46),2)</f>
        <v>48.41</v>
      </c>
      <c r="C47" s="12">
        <f>+TRUNC((C45*C46),2)</f>
        <v>15.47</v>
      </c>
      <c r="D47" s="12">
        <f>+TRUNC((D45*D46),2)</f>
        <v>43.54</v>
      </c>
      <c r="E47" s="12">
        <f>+TRUNC((E45*E46),2)</f>
        <v>49.6</v>
      </c>
      <c r="F47" s="12">
        <f>+TRUNC((F45*F46),2)</f>
        <v>17.18</v>
      </c>
      <c r="G47" s="42"/>
      <c r="H47" s="42"/>
    </row>
    <row r="48" spans="1:10" ht="12.75">
      <c r="A48" s="52"/>
      <c r="B48" s="8">
        <f>TRUNC(17.5458*(B47-6)^1.05)</f>
        <v>897</v>
      </c>
      <c r="C48" s="8">
        <f>TRUNC(56.0211*(C47-1.5)^1.05)</f>
        <v>892</v>
      </c>
      <c r="D48" s="8">
        <f>TRUNC(12.3311*(D47-3)^1.1)</f>
        <v>723</v>
      </c>
      <c r="E48" s="8">
        <f>TRUNC(15.9803*(E47-3.8)^1.04)</f>
        <v>852</v>
      </c>
      <c r="F48" s="8">
        <f>TRUNC(52.1403*(F47-1.5)^1.05)</f>
        <v>938</v>
      </c>
      <c r="G48" s="65">
        <f>B48+C48+D48+E48+F48</f>
        <v>4302</v>
      </c>
      <c r="H48" s="42" t="s">
        <v>99</v>
      </c>
      <c r="I48" s="54" t="s">
        <v>116</v>
      </c>
      <c r="J48" s="45"/>
    </row>
    <row r="49" ht="12.75">
      <c r="C49" s="2"/>
    </row>
    <row r="50" spans="1:10" ht="12.75">
      <c r="A50" s="10">
        <v>75</v>
      </c>
      <c r="B50" s="7">
        <v>24.63</v>
      </c>
      <c r="C50" s="7">
        <v>7</v>
      </c>
      <c r="D50" s="7">
        <v>19.6</v>
      </c>
      <c r="E50" s="7">
        <v>16.21</v>
      </c>
      <c r="F50" s="7">
        <v>9.92</v>
      </c>
      <c r="I50" s="7"/>
      <c r="J50" s="7"/>
    </row>
    <row r="51" spans="1:6" ht="12.75">
      <c r="A51" s="2"/>
      <c r="B51" s="57">
        <v>1.8918</v>
      </c>
      <c r="C51" s="2">
        <v>1.8324</v>
      </c>
      <c r="D51" s="2">
        <v>2.1546</v>
      </c>
      <c r="E51" s="2">
        <v>2.2794</v>
      </c>
      <c r="F51" s="57">
        <v>1.3955</v>
      </c>
    </row>
    <row r="52" spans="1:6" ht="12.75">
      <c r="A52" s="2"/>
      <c r="B52" s="11">
        <f>+TRUNC((B50*B51),2)</f>
        <v>46.59</v>
      </c>
      <c r="C52" s="11">
        <f>+TRUNC((C50*C51),2)</f>
        <v>12.82</v>
      </c>
      <c r="D52" s="11">
        <f>+TRUNC((D50*D51),2)</f>
        <v>42.23</v>
      </c>
      <c r="E52" s="11">
        <f>+TRUNC((E50*E51),2)</f>
        <v>36.94</v>
      </c>
      <c r="F52" s="11">
        <f>+TRUNC((F50*F51),2)</f>
        <v>13.84</v>
      </c>
    </row>
    <row r="53" spans="1:8" ht="12.75">
      <c r="A53" s="1"/>
      <c r="B53" s="8">
        <f>TRUNC(17.5458*(B52-6)^1.05)</f>
        <v>857</v>
      </c>
      <c r="C53" s="8">
        <f>TRUNC(56.0211*(C52-1.5)^1.05)</f>
        <v>715</v>
      </c>
      <c r="D53" s="8">
        <f>TRUNC(12.3311*(D52-3)^1.1)</f>
        <v>698</v>
      </c>
      <c r="E53" s="8">
        <f>TRUNC(15.9803*(E52-3.8)^1.04)</f>
        <v>609</v>
      </c>
      <c r="F53" s="8">
        <f>TRUNC(52.1403*(F52-1.5)^1.05)</f>
        <v>729</v>
      </c>
      <c r="G53" s="15">
        <f>B53+C53+D53+E53+F53</f>
        <v>3608</v>
      </c>
      <c r="H53" t="s">
        <v>77</v>
      </c>
    </row>
    <row r="54" ht="12.75">
      <c r="C54" s="2"/>
    </row>
    <row r="55" spans="1:13" ht="12.75">
      <c r="A55" s="10">
        <v>80</v>
      </c>
      <c r="B55" s="7">
        <v>20.25</v>
      </c>
      <c r="C55" s="7">
        <v>5.9</v>
      </c>
      <c r="D55" s="7">
        <v>14.98</v>
      </c>
      <c r="E55" s="7">
        <v>12.33</v>
      </c>
      <c r="F55" s="7">
        <v>8.21</v>
      </c>
      <c r="H55" s="7"/>
      <c r="I55" s="7"/>
      <c r="J55" s="7"/>
      <c r="K55" s="7"/>
      <c r="L55" s="7"/>
      <c r="M55" s="7"/>
    </row>
    <row r="56" spans="1:6" ht="12.75">
      <c r="A56" s="2"/>
      <c r="B56" s="57">
        <v>2.163</v>
      </c>
      <c r="C56" s="2">
        <v>2.0742</v>
      </c>
      <c r="D56" s="21">
        <v>2.522</v>
      </c>
      <c r="E56" s="2">
        <v>2.7129</v>
      </c>
      <c r="F56" s="57">
        <v>1.5624</v>
      </c>
    </row>
    <row r="57" spans="1:6" ht="12.75">
      <c r="A57" s="2"/>
      <c r="B57" s="11">
        <f>+TRUNC((B55*B56),2)</f>
        <v>43.8</v>
      </c>
      <c r="C57" s="11">
        <f>+TRUNC((C55*C56),2)</f>
        <v>12.23</v>
      </c>
      <c r="D57" s="22">
        <f>+TRUNC((D55*D56),2)</f>
        <v>37.77</v>
      </c>
      <c r="E57" s="11">
        <f>+TRUNC((E55*E56),2)</f>
        <v>33.45</v>
      </c>
      <c r="F57" s="11">
        <f>+TRUNC((F55*F56),2)</f>
        <v>12.82</v>
      </c>
    </row>
    <row r="58" spans="1:8" ht="12.75">
      <c r="A58" s="1"/>
      <c r="B58" s="8">
        <f>TRUNC(17.5458*(B57-6)^1.05)</f>
        <v>795</v>
      </c>
      <c r="C58" s="8">
        <f>TRUNC(56.0211*(C57-1.5)^1.05)</f>
        <v>676</v>
      </c>
      <c r="D58" s="23">
        <f>TRUNC(12.3311*(D57-3)^1.1)</f>
        <v>611</v>
      </c>
      <c r="E58" s="8">
        <f>TRUNC(15.9803*(E57-3.8)^1.04)</f>
        <v>542</v>
      </c>
      <c r="F58" s="8">
        <f>TRUNC(52.1403*(F57-1.5)^1.05)</f>
        <v>666</v>
      </c>
      <c r="G58" s="15">
        <f>B58+C58+D58+E58+F58</f>
        <v>3290</v>
      </c>
      <c r="H58" t="s">
        <v>77</v>
      </c>
    </row>
    <row r="59" spans="3:4" ht="12.75">
      <c r="C59" s="2"/>
      <c r="D59" s="33"/>
    </row>
    <row r="60" spans="1:12" ht="12.75">
      <c r="A60" s="10">
        <v>85</v>
      </c>
      <c r="B60" s="7">
        <v>12.45</v>
      </c>
      <c r="C60" s="7">
        <v>4.8</v>
      </c>
      <c r="D60" s="7">
        <v>10.4</v>
      </c>
      <c r="E60" s="7">
        <v>10.87</v>
      </c>
      <c r="F60" s="7">
        <v>5.93</v>
      </c>
      <c r="H60" s="7"/>
      <c r="I60" s="7"/>
      <c r="J60" s="7"/>
      <c r="K60" s="7"/>
      <c r="L60" s="7"/>
    </row>
    <row r="61" spans="1:6" ht="12.75">
      <c r="A61" s="2"/>
      <c r="B61" s="57">
        <v>2.5284</v>
      </c>
      <c r="C61" s="2">
        <v>2.3894</v>
      </c>
      <c r="D61" s="21">
        <v>3.0404</v>
      </c>
      <c r="E61" s="2">
        <v>3.35</v>
      </c>
      <c r="F61" s="57">
        <v>1.7304</v>
      </c>
    </row>
    <row r="62" spans="1:6" ht="12.75">
      <c r="A62" s="2"/>
      <c r="B62" s="11">
        <f>+TRUNC((B60*B61),2)</f>
        <v>31.47</v>
      </c>
      <c r="C62" s="11">
        <f>+TRUNC((C60*C61),2)</f>
        <v>11.46</v>
      </c>
      <c r="D62" s="22">
        <f>+TRUNC((D60*D61),2)</f>
        <v>31.62</v>
      </c>
      <c r="E62" s="11">
        <f>+TRUNC((E60*E61),2)</f>
        <v>36.41</v>
      </c>
      <c r="F62" s="11">
        <f>+TRUNC((F60*F61),2)</f>
        <v>10.26</v>
      </c>
    </row>
    <row r="63" spans="1:8" ht="12.75">
      <c r="A63" s="1"/>
      <c r="B63" s="8">
        <f>TRUNC(17.5458*(B62-6)^1.05)</f>
        <v>525</v>
      </c>
      <c r="C63" s="8">
        <f>TRUNC(56.0211*(C62-1.5)^1.05)</f>
        <v>625</v>
      </c>
      <c r="D63" s="23">
        <f>TRUNC(12.3311*(D62-3)^1.1)</f>
        <v>493</v>
      </c>
      <c r="E63" s="8">
        <f>TRUNC(15.9803*(E62-3.8)^1.04)</f>
        <v>599</v>
      </c>
      <c r="F63" s="8">
        <f>TRUNC(52.1403*(F62-1.5)^1.05)</f>
        <v>509</v>
      </c>
      <c r="G63" s="15">
        <f>B63+C63+D63+E63+F63</f>
        <v>2751</v>
      </c>
      <c r="H63" t="s">
        <v>78</v>
      </c>
    </row>
    <row r="64" spans="3:4" ht="12.75">
      <c r="C64" s="2"/>
      <c r="D64" s="33"/>
    </row>
    <row r="65" spans="1:13" ht="12.75">
      <c r="A65" s="10">
        <v>90</v>
      </c>
      <c r="B65" s="7">
        <v>1.85</v>
      </c>
      <c r="C65" s="7">
        <v>2.95</v>
      </c>
      <c r="D65" s="7">
        <v>4.53</v>
      </c>
      <c r="E65" s="7">
        <v>4.17</v>
      </c>
      <c r="F65" s="7">
        <v>2.63</v>
      </c>
      <c r="H65" s="7"/>
      <c r="I65" s="7"/>
      <c r="J65" s="7"/>
      <c r="K65" s="7"/>
      <c r="L65" s="7"/>
      <c r="M65" s="7"/>
    </row>
    <row r="66" spans="1:6" ht="12.75">
      <c r="A66" s="2"/>
      <c r="B66" s="57">
        <v>3.0478</v>
      </c>
      <c r="C66" s="2">
        <v>2.8176</v>
      </c>
      <c r="D66" s="21">
        <v>3.827</v>
      </c>
      <c r="E66" s="2">
        <v>4.3782</v>
      </c>
      <c r="F66" s="57">
        <v>1.9798</v>
      </c>
    </row>
    <row r="67" spans="1:6" ht="12.75">
      <c r="A67" s="2"/>
      <c r="B67" s="11">
        <f>+TRUNC((B65*B66),2)</f>
        <v>5.63</v>
      </c>
      <c r="C67" s="11">
        <f>+TRUNC((C65*C66),2)</f>
        <v>8.31</v>
      </c>
      <c r="D67" s="22">
        <f>+TRUNC((D65*D66),2)</f>
        <v>17.33</v>
      </c>
      <c r="E67" s="11">
        <f>+TRUNC((E65*E66),2)</f>
        <v>18.25</v>
      </c>
      <c r="F67" s="11">
        <f>+TRUNC((F65*F66),2)</f>
        <v>5.2</v>
      </c>
    </row>
    <row r="68" spans="1:8" ht="12.75">
      <c r="A68" s="1"/>
      <c r="B68" s="8" t="e">
        <f>TRUNC(17.5458*(B67-6)^1.05)</f>
        <v>#NUM!</v>
      </c>
      <c r="C68" s="8">
        <f>TRUNC(56.0211*(C67-1.5)^1.05)</f>
        <v>419</v>
      </c>
      <c r="D68" s="23">
        <f>TRUNC(12.3311*(D67-3)^1.1)</f>
        <v>230</v>
      </c>
      <c r="E68" s="8">
        <f>TRUNC(15.9803*(E67-3.8)^1.04)</f>
        <v>256</v>
      </c>
      <c r="F68" s="8">
        <f>TRUNC(52.1403*(F67-1.5)^1.05)</f>
        <v>205</v>
      </c>
      <c r="G68" s="15" t="e">
        <f>B68+C68+D68+E68+F68</f>
        <v>#NUM!</v>
      </c>
      <c r="H68" t="s">
        <v>85</v>
      </c>
    </row>
    <row r="69" spans="3:4" ht="12.75">
      <c r="C69" s="2"/>
      <c r="D69" s="33"/>
    </row>
    <row r="70" spans="1:6" ht="12.75">
      <c r="A70" s="10">
        <v>95</v>
      </c>
      <c r="B70" s="7">
        <v>12.45</v>
      </c>
      <c r="C70" s="7">
        <v>4.8</v>
      </c>
      <c r="D70" s="7">
        <v>10.4</v>
      </c>
      <c r="E70" s="7">
        <v>10.87</v>
      </c>
      <c r="F70" s="7">
        <v>5.93</v>
      </c>
    </row>
    <row r="71" spans="1:6" ht="12.75">
      <c r="A71" s="2"/>
      <c r="B71" s="57">
        <v>3.8446</v>
      </c>
      <c r="C71" s="2">
        <v>3.4328</v>
      </c>
      <c r="D71" s="21">
        <v>5.1626</v>
      </c>
      <c r="E71" s="2">
        <v>6.3171</v>
      </c>
      <c r="F71" s="57">
        <v>2.3272</v>
      </c>
    </row>
    <row r="72" spans="1:6" ht="12.75">
      <c r="A72" s="2"/>
      <c r="B72" s="11">
        <f>+TRUNC((B70*B71),2)</f>
        <v>47.86</v>
      </c>
      <c r="C72" s="11">
        <f>+TRUNC((C70*C71),2)</f>
        <v>16.47</v>
      </c>
      <c r="D72" s="22">
        <f>+TRUNC((D70*D71),2)</f>
        <v>53.69</v>
      </c>
      <c r="E72" s="11">
        <f>+TRUNC((E70*E71),2)</f>
        <v>68.66</v>
      </c>
      <c r="F72" s="11">
        <f>+TRUNC((F70*F71),2)</f>
        <v>13.8</v>
      </c>
    </row>
    <row r="73" spans="1:7" ht="12.75">
      <c r="A73" s="1"/>
      <c r="B73" s="8">
        <f>TRUNC(17.5458*(B72-6)^1.05)</f>
        <v>885</v>
      </c>
      <c r="C73" s="8">
        <f>TRUNC(56.0211*(C72-1.5)^1.05)</f>
        <v>960</v>
      </c>
      <c r="D73" s="23">
        <f>TRUNC(12.3311*(D72-3)^1.1)</f>
        <v>925</v>
      </c>
      <c r="E73" s="8">
        <f>TRUNC(15.9803*(E72-3.8)^1.04)</f>
        <v>1224</v>
      </c>
      <c r="F73" s="8">
        <f>TRUNC(52.1403*(F72-1.5)^1.05)</f>
        <v>727</v>
      </c>
      <c r="G73" s="15">
        <f>B73+C73+D73+E73+F73</f>
        <v>4721</v>
      </c>
    </row>
    <row r="74" spans="3:4" ht="12.75">
      <c r="C74" s="2"/>
      <c r="D74" s="33"/>
    </row>
    <row r="75" spans="1:6" ht="12.75">
      <c r="A75" s="10" t="s">
        <v>9</v>
      </c>
      <c r="B75" s="7">
        <v>12.45</v>
      </c>
      <c r="C75" s="7">
        <v>4.8</v>
      </c>
      <c r="D75" s="7">
        <v>10.4</v>
      </c>
      <c r="E75" s="7">
        <v>10.87</v>
      </c>
      <c r="F75" s="7">
        <v>5.93</v>
      </c>
    </row>
    <row r="76" spans="1:6" ht="12.75">
      <c r="A76" s="2"/>
      <c r="B76" s="57">
        <v>5.2219</v>
      </c>
      <c r="C76" s="2">
        <v>4.3917</v>
      </c>
      <c r="D76" s="21">
        <v>7.9302</v>
      </c>
      <c r="E76" s="2">
        <v>11.337</v>
      </c>
      <c r="F76" s="57">
        <v>2.8449</v>
      </c>
    </row>
    <row r="77" spans="1:6" ht="12.75">
      <c r="A77" s="2"/>
      <c r="B77" s="11">
        <f>+TRUNC((B75*B76),2)</f>
        <v>65.01</v>
      </c>
      <c r="C77" s="11">
        <f>+TRUNC((C75*C76),2)</f>
        <v>21.08</v>
      </c>
      <c r="D77" s="11">
        <f>+TRUNC((D75*D76),2)</f>
        <v>82.47</v>
      </c>
      <c r="E77" s="11">
        <f>+TRUNC((E75*E76),2)</f>
        <v>123.23</v>
      </c>
      <c r="F77" s="11">
        <f>+TRUNC((F75*F76),2)</f>
        <v>16.87</v>
      </c>
    </row>
    <row r="78" spans="1:7" ht="12.75">
      <c r="A78" s="1"/>
      <c r="B78" s="8">
        <f>TRUNC(17.5458*(B77-6)^1.05)</f>
        <v>1269</v>
      </c>
      <c r="C78" s="8">
        <f>TRUNC(56.0211*(C77-1.5)^1.05)</f>
        <v>1272</v>
      </c>
      <c r="D78" s="8">
        <f>TRUNC(12.3311*(D77-3)^1.1)</f>
        <v>1517</v>
      </c>
      <c r="E78" s="8">
        <f>TRUNC(15.9803*(E77-3.8)^1.04)</f>
        <v>2310</v>
      </c>
      <c r="F78" s="8">
        <f>TRUNC(52.1403*(F77-1.5)^1.05)</f>
        <v>918</v>
      </c>
      <c r="G78" s="15">
        <f>B78+C78+D78+E78+F78</f>
        <v>7286</v>
      </c>
    </row>
    <row r="79" ht="12.75">
      <c r="C7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9"/>
  <sheetViews>
    <sheetView zoomScalePageLayoutView="0" workbookViewId="0" topLeftCell="A1">
      <pane ySplit="1335" topLeftCell="A1" activePane="bottomLeft" state="split"/>
      <selection pane="topLeft" activeCell="A3" sqref="A3"/>
      <selection pane="bottomLeft" activeCell="A3" sqref="A3"/>
    </sheetView>
  </sheetViews>
  <sheetFormatPr defaultColWidth="9.140625" defaultRowHeight="12.75"/>
  <cols>
    <col min="2" max="2" width="14.8515625" style="0" customWidth="1"/>
    <col min="3" max="3" width="11.28125" style="0" customWidth="1"/>
    <col min="4" max="5" width="11.421875" style="0" customWidth="1"/>
    <col min="6" max="6" width="10.8515625" style="0" customWidth="1"/>
    <col min="7" max="7" width="11.00390625" style="0" customWidth="1"/>
    <col min="8" max="8" width="12.140625" style="0" customWidth="1"/>
    <col min="9" max="9" width="13.140625" style="0" customWidth="1"/>
    <col min="10" max="10" width="17.28125" style="0" customWidth="1"/>
    <col min="11" max="11" width="13.28125" style="0" customWidth="1"/>
    <col min="12" max="12" width="16.57421875" style="0" customWidth="1"/>
    <col min="14" max="14" width="13.421875" style="0" customWidth="1"/>
    <col min="16" max="16" width="13.57421875" style="0" customWidth="1"/>
  </cols>
  <sheetData>
    <row r="1" ht="15.75">
      <c r="A1" s="17" t="s">
        <v>105</v>
      </c>
    </row>
    <row r="2" ht="15.75">
      <c r="A2" s="17"/>
    </row>
    <row r="3" spans="2:8" ht="12.75">
      <c r="B3" s="26" t="s">
        <v>37</v>
      </c>
      <c r="C3" s="27" t="s">
        <v>4</v>
      </c>
      <c r="D3" s="27" t="s">
        <v>2</v>
      </c>
      <c r="E3" s="27" t="s">
        <v>1</v>
      </c>
      <c r="F3" s="27" t="s">
        <v>38</v>
      </c>
      <c r="G3" s="27" t="s">
        <v>21</v>
      </c>
      <c r="H3" s="27" t="s">
        <v>39</v>
      </c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10">
        <v>30</v>
      </c>
      <c r="B5" s="7">
        <v>7.4</v>
      </c>
      <c r="C5" s="8">
        <v>669</v>
      </c>
      <c r="D5" s="7">
        <v>13.56</v>
      </c>
      <c r="E5" s="8">
        <v>195</v>
      </c>
      <c r="F5" s="7">
        <v>8.89</v>
      </c>
      <c r="G5" s="8">
        <v>470</v>
      </c>
      <c r="H5" s="7">
        <f>3*60+11.19</f>
        <v>191.19</v>
      </c>
    </row>
    <row r="6" spans="1:8" ht="12.75">
      <c r="A6" s="2"/>
      <c r="B6" s="2">
        <v>1</v>
      </c>
      <c r="C6" s="2">
        <v>1</v>
      </c>
      <c r="D6" s="2">
        <v>1</v>
      </c>
      <c r="E6" s="2">
        <v>1</v>
      </c>
      <c r="F6" s="21">
        <v>1</v>
      </c>
      <c r="G6" s="2">
        <v>1</v>
      </c>
      <c r="H6" s="2">
        <v>1</v>
      </c>
    </row>
    <row r="7" spans="1:8" ht="12.75">
      <c r="A7" s="2"/>
      <c r="B7" s="11">
        <f>+ROUNDUP((B5*B6),2)</f>
        <v>7.4</v>
      </c>
      <c r="C7" s="1">
        <f>+TRUNC((C5*C6),0)</f>
        <v>669</v>
      </c>
      <c r="D7" s="11">
        <f>+TRUNC((D5*D6),2)</f>
        <v>13.56</v>
      </c>
      <c r="E7" s="1">
        <f>+TRUNC((E5*E6),0)</f>
        <v>195</v>
      </c>
      <c r="F7" s="22">
        <f>+ROUNDUP((F5*F6),2)</f>
        <v>8.89</v>
      </c>
      <c r="G7" s="1">
        <f>+TRUNC((G5*G6),0)</f>
        <v>470</v>
      </c>
      <c r="H7" s="11">
        <f>+ROUNDUP((H5*H6),2)</f>
        <v>191.19</v>
      </c>
    </row>
    <row r="8" spans="1:9" ht="12.75">
      <c r="A8" s="1"/>
      <c r="B8" s="8">
        <f>TRUNC(58.015*(11.5-B7)^1.81)</f>
        <v>745</v>
      </c>
      <c r="C8" s="8">
        <f>TRUNC(0.14354*(C7-220)^1.4)</f>
        <v>741</v>
      </c>
      <c r="D8" s="8">
        <f>TRUNC(51.39*(D7-1.5)^1.05)</f>
        <v>701</v>
      </c>
      <c r="E8" s="8">
        <f>TRUNC(0.8465*(E7-75)^1.42)</f>
        <v>758</v>
      </c>
      <c r="F8" s="23">
        <f>TRUNC(20.5173*(15.5-F7)^1.92)</f>
        <v>770</v>
      </c>
      <c r="G8" s="8">
        <f>TRUNC(0.2797*(G7-100)^1.35)</f>
        <v>819</v>
      </c>
      <c r="H8" s="8">
        <f>TRUNC(0.08713*(305.5-H7)^1.85)</f>
        <v>559</v>
      </c>
      <c r="I8" s="15">
        <f>SUM(B8:H8)</f>
        <v>5093</v>
      </c>
    </row>
    <row r="9" spans="2:8" ht="12.75">
      <c r="B9" s="2"/>
      <c r="C9" s="2"/>
      <c r="D9" s="2"/>
      <c r="E9" s="2"/>
      <c r="F9" s="2"/>
      <c r="G9" s="2"/>
      <c r="H9" s="2"/>
    </row>
    <row r="10" spans="1:17" ht="12.75">
      <c r="A10" s="10">
        <v>35</v>
      </c>
      <c r="B10" s="7">
        <v>7.4</v>
      </c>
      <c r="C10" s="8">
        <v>669</v>
      </c>
      <c r="D10" s="7">
        <v>13.56</v>
      </c>
      <c r="E10" s="8">
        <v>195</v>
      </c>
      <c r="F10" s="7">
        <v>8.89</v>
      </c>
      <c r="G10" s="8">
        <v>470</v>
      </c>
      <c r="H10" s="7">
        <f>3*60+11.19</f>
        <v>191.19</v>
      </c>
      <c r="K10" s="7"/>
      <c r="L10" s="8"/>
      <c r="M10" s="7"/>
      <c r="N10" s="8"/>
      <c r="O10" s="7"/>
      <c r="P10" s="8"/>
      <c r="Q10" s="7"/>
    </row>
    <row r="11" spans="1:8" ht="12.75">
      <c r="A11" s="2"/>
      <c r="B11" s="2">
        <v>0.9859</v>
      </c>
      <c r="C11" s="2">
        <v>1.0317</v>
      </c>
      <c r="D11" s="2">
        <v>1.0372</v>
      </c>
      <c r="E11" s="2">
        <v>1.026</v>
      </c>
      <c r="F11" s="21">
        <v>0.9838</v>
      </c>
      <c r="G11" s="2">
        <v>1.0168</v>
      </c>
      <c r="H11" s="2">
        <v>0.9928</v>
      </c>
    </row>
    <row r="12" spans="1:8" ht="12.75">
      <c r="A12" s="2"/>
      <c r="B12" s="11">
        <f>+ROUNDUP((B10*B11),2)</f>
        <v>7.3</v>
      </c>
      <c r="C12" s="1">
        <f>+TRUNC((C10*C11),0)</f>
        <v>690</v>
      </c>
      <c r="D12" s="11">
        <f>+TRUNC((D10*D11),2)</f>
        <v>14.06</v>
      </c>
      <c r="E12" s="1">
        <f>+TRUNC((E10*E11),0)</f>
        <v>200</v>
      </c>
      <c r="F12" s="22">
        <f>+ROUNDUP((F10*F11),2)</f>
        <v>8.75</v>
      </c>
      <c r="G12" s="1">
        <f>+TRUNC((G10*G11),0)</f>
        <v>477</v>
      </c>
      <c r="H12" s="11">
        <f>+ROUNDUP((H10*H11),2)</f>
        <v>189.82</v>
      </c>
    </row>
    <row r="13" spans="1:10" ht="12.75">
      <c r="A13" s="1"/>
      <c r="B13" s="8">
        <f>TRUNC(58.015*(11.5-B12)^1.81)</f>
        <v>779</v>
      </c>
      <c r="C13" s="8">
        <f>TRUNC(0.14354*(C12-220)^1.4)</f>
        <v>790</v>
      </c>
      <c r="D13" s="8">
        <f>TRUNC(51.39*(D12-1.5)^1.05)</f>
        <v>732</v>
      </c>
      <c r="E13" s="8">
        <f>TRUNC(0.8465*(E12-75)^1.42)</f>
        <v>803</v>
      </c>
      <c r="F13" s="23">
        <f>TRUNC(20.5173*(15.5-F12)^1.92)</f>
        <v>802</v>
      </c>
      <c r="G13" s="8">
        <f>TRUNC(0.2797*(G12-100)^1.35)</f>
        <v>840</v>
      </c>
      <c r="H13" s="8">
        <f>TRUNC(0.08713*(305.5-H12)^1.85)</f>
        <v>571</v>
      </c>
      <c r="I13" s="15">
        <f>SUM(B13:H13)</f>
        <v>5317</v>
      </c>
      <c r="J13" s="42" t="s">
        <v>90</v>
      </c>
    </row>
    <row r="14" spans="2:8" ht="12.75">
      <c r="B14" s="5"/>
      <c r="C14" s="5"/>
      <c r="D14" s="5"/>
      <c r="E14" s="5"/>
      <c r="F14" s="24"/>
      <c r="G14" s="5"/>
      <c r="H14" s="5"/>
    </row>
    <row r="15" spans="1:8" ht="12.75">
      <c r="A15" s="10">
        <v>40</v>
      </c>
      <c r="B15" s="7">
        <v>7.91</v>
      </c>
      <c r="C15" s="8">
        <v>546</v>
      </c>
      <c r="D15" s="7">
        <v>9.98</v>
      </c>
      <c r="E15" s="8">
        <v>168</v>
      </c>
      <c r="F15" s="25">
        <v>9.99</v>
      </c>
      <c r="G15" s="8">
        <v>310</v>
      </c>
      <c r="H15" s="7">
        <v>190.11</v>
      </c>
    </row>
    <row r="16" spans="1:8" ht="12.75">
      <c r="A16" s="2"/>
      <c r="B16" s="2">
        <v>0.9568</v>
      </c>
      <c r="C16" s="2">
        <v>1.0899</v>
      </c>
      <c r="D16" s="2">
        <v>1.1137</v>
      </c>
      <c r="E16" s="2">
        <v>1.0486</v>
      </c>
      <c r="F16" s="21">
        <v>0.9466</v>
      </c>
      <c r="G16" s="2">
        <v>1.0773</v>
      </c>
      <c r="H16" s="2">
        <v>0.9537</v>
      </c>
    </row>
    <row r="17" spans="1:8" ht="12.75">
      <c r="A17" s="2"/>
      <c r="B17" s="11">
        <f>+ROUNDUP((B15*B16),2)</f>
        <v>7.569999999999999</v>
      </c>
      <c r="C17" s="1">
        <f>+TRUNC((C15*C16),0)</f>
        <v>595</v>
      </c>
      <c r="D17" s="11">
        <f>+TRUNC((D15*D16),2)</f>
        <v>11.11</v>
      </c>
      <c r="E17" s="1">
        <f>+TRUNC((E15*E16),0)</f>
        <v>176</v>
      </c>
      <c r="F17" s="22">
        <f>+ROUNDUP((F15*F16),2)</f>
        <v>9.459999999999999</v>
      </c>
      <c r="G17" s="1">
        <f>+TRUNC((G15*G16),0)</f>
        <v>333</v>
      </c>
      <c r="H17" s="11">
        <f>+ROUNDUP((H15*H16),2)</f>
        <v>181.31</v>
      </c>
    </row>
    <row r="18" spans="1:10" ht="12.75">
      <c r="A18" s="8"/>
      <c r="B18" s="8">
        <f>TRUNC(58.015*(11.5-B17)^1.81)</f>
        <v>690</v>
      </c>
      <c r="C18" s="8">
        <f>TRUNC(0.14354*(C17-220)^1.4)</f>
        <v>576</v>
      </c>
      <c r="D18" s="8">
        <f>TRUNC(51.39*(D17-1.5)^1.05)</f>
        <v>553</v>
      </c>
      <c r="E18" s="8">
        <f>TRUNC(0.8465*(E17-75)^1.42)</f>
        <v>593</v>
      </c>
      <c r="F18" s="23">
        <f>TRUNC(20.5173*(15.5-F17)^1.92)</f>
        <v>648</v>
      </c>
      <c r="G18" s="8">
        <f>TRUNC(0.2797*(G17-100)^1.35)</f>
        <v>439</v>
      </c>
      <c r="H18" s="8">
        <f>TRUNC(0.08713*(305.5-H17)^1.85)</f>
        <v>651</v>
      </c>
      <c r="I18" s="15">
        <f>SUM(B18:H18)</f>
        <v>4150</v>
      </c>
      <c r="J18" s="28" t="s">
        <v>49</v>
      </c>
    </row>
    <row r="19" spans="1:8" ht="12.75">
      <c r="A19" s="6"/>
      <c r="B19" s="5"/>
      <c r="C19" s="5"/>
      <c r="D19" s="5"/>
      <c r="E19" s="5"/>
      <c r="F19" s="24"/>
      <c r="G19" s="5"/>
      <c r="H19" s="5"/>
    </row>
    <row r="20" spans="1:17" ht="12.75">
      <c r="A20" s="10">
        <v>45</v>
      </c>
      <c r="B20" s="7">
        <v>8.12</v>
      </c>
      <c r="C20" s="8">
        <v>526</v>
      </c>
      <c r="D20" s="7">
        <v>10.13</v>
      </c>
      <c r="E20" s="8">
        <v>157</v>
      </c>
      <c r="F20" s="25">
        <v>9.97</v>
      </c>
      <c r="G20" s="8">
        <v>290</v>
      </c>
      <c r="H20" s="7">
        <f>3*60+20.42</f>
        <v>200.42000000000002</v>
      </c>
      <c r="K20" s="7"/>
      <c r="L20" s="8"/>
      <c r="M20" s="7"/>
      <c r="N20" s="8"/>
      <c r="O20" s="25"/>
      <c r="P20" s="8"/>
      <c r="Q20" s="7"/>
    </row>
    <row r="21" spans="1:8" ht="12.75">
      <c r="A21" s="2"/>
      <c r="B21" s="2">
        <v>0.9277</v>
      </c>
      <c r="C21" s="2">
        <v>1.1551</v>
      </c>
      <c r="D21" s="2">
        <v>1.2023</v>
      </c>
      <c r="E21" s="2">
        <v>1.1022</v>
      </c>
      <c r="F21" s="21">
        <v>0.9094</v>
      </c>
      <c r="G21" s="2">
        <v>1.1481</v>
      </c>
      <c r="H21" s="2">
        <v>0.9146</v>
      </c>
    </row>
    <row r="22" spans="1:8" ht="12.75">
      <c r="A22" s="2"/>
      <c r="B22" s="11">
        <f>+ROUNDUP((B20*B21),2)</f>
        <v>7.54</v>
      </c>
      <c r="C22" s="1">
        <f>+TRUNC((C20*C21),0)</f>
        <v>607</v>
      </c>
      <c r="D22" s="11">
        <f>+TRUNC((D20*D21),2)</f>
        <v>12.17</v>
      </c>
      <c r="E22" s="1">
        <f>+TRUNC((E20*E21),0)</f>
        <v>173</v>
      </c>
      <c r="F22" s="11">
        <f>+ROUNDUP((F20*F21),2)</f>
        <v>9.07</v>
      </c>
      <c r="G22" s="1">
        <f>+TRUNC((G20*G21),0)</f>
        <v>332</v>
      </c>
      <c r="H22" s="11">
        <f>+ROUNDUP((H20*H21),2)</f>
        <v>183.31</v>
      </c>
    </row>
    <row r="23" spans="1:10" ht="12.75">
      <c r="A23" s="1"/>
      <c r="B23" s="8">
        <f>TRUNC(58.015*(11.5-B22)^1.81)</f>
        <v>700</v>
      </c>
      <c r="C23" s="8">
        <f>TRUNC(0.14354*(C22-220)^1.4)</f>
        <v>602</v>
      </c>
      <c r="D23" s="8">
        <f>TRUNC(51.39*(D22-1.5)^1.05)</f>
        <v>617</v>
      </c>
      <c r="E23" s="8">
        <f>TRUNC(0.8465*(E22-75)^1.42)</f>
        <v>569</v>
      </c>
      <c r="F23" s="8">
        <f>TRUNC(20.5173*(15.5-F22)^1.92)</f>
        <v>730</v>
      </c>
      <c r="G23" s="8">
        <f>TRUNC(0.2797*(G22-100)^1.35)</f>
        <v>436</v>
      </c>
      <c r="H23" s="8">
        <f>TRUNC(0.08713*(305.5-H22)^1.85)</f>
        <v>632</v>
      </c>
      <c r="I23" s="15">
        <f>SUM(B23:H23)</f>
        <v>4286</v>
      </c>
      <c r="J23" s="42" t="s">
        <v>96</v>
      </c>
    </row>
    <row r="24" spans="2:8" ht="12.75">
      <c r="B24" s="3"/>
      <c r="C24" s="3"/>
      <c r="D24" s="3"/>
      <c r="E24" s="3"/>
      <c r="F24" s="16"/>
      <c r="G24" s="3"/>
      <c r="H24" s="3"/>
    </row>
    <row r="25" spans="1:8" ht="12.75">
      <c r="A25" s="10">
        <v>50</v>
      </c>
      <c r="B25" s="7">
        <v>8.96</v>
      </c>
      <c r="C25" s="8">
        <v>421</v>
      </c>
      <c r="D25" s="7">
        <v>12.09</v>
      </c>
      <c r="E25" s="8">
        <v>142</v>
      </c>
      <c r="F25" s="7">
        <v>11.46</v>
      </c>
      <c r="G25" s="8">
        <v>306</v>
      </c>
      <c r="H25" s="7">
        <v>215.51</v>
      </c>
    </row>
    <row r="26" spans="1:8" ht="12.75">
      <c r="A26" s="2"/>
      <c r="B26" s="2">
        <v>0.8986</v>
      </c>
      <c r="C26" s="2">
        <v>1.2286</v>
      </c>
      <c r="D26" s="2">
        <v>1.1721</v>
      </c>
      <c r="E26" s="2">
        <v>1.1617</v>
      </c>
      <c r="F26" s="2">
        <v>0.8922</v>
      </c>
      <c r="G26" s="2">
        <v>1.2272</v>
      </c>
      <c r="H26" s="2">
        <v>0.8755</v>
      </c>
    </row>
    <row r="27" spans="1:8" ht="12.75">
      <c r="A27" s="2"/>
      <c r="B27" s="11">
        <f>+ROUNDUP((B25*B26),2)</f>
        <v>8.06</v>
      </c>
      <c r="C27" s="1">
        <f>+TRUNC((C25*C26),0)</f>
        <v>517</v>
      </c>
      <c r="D27" s="11">
        <f>+TRUNC((D25*D26),2)</f>
        <v>14.17</v>
      </c>
      <c r="E27" s="1">
        <f>+TRUNC((E25*E26),0)</f>
        <v>164</v>
      </c>
      <c r="F27" s="11">
        <f>+ROUNDUP((F25*F26),2)</f>
        <v>10.23</v>
      </c>
      <c r="G27" s="1">
        <f>+TRUNC((G25*G26),0)</f>
        <v>375</v>
      </c>
      <c r="H27" s="11">
        <f>+ROUNDUP((H25*H26),2)</f>
        <v>188.67999999999998</v>
      </c>
    </row>
    <row r="28" spans="1:10" ht="12.75">
      <c r="A28" s="1"/>
      <c r="B28" s="8">
        <f>TRUNC(58.015*(11.5-B27)^1.81)</f>
        <v>542</v>
      </c>
      <c r="C28" s="8">
        <f>TRUNC(0.14354*(C27-220)^1.4)</f>
        <v>415</v>
      </c>
      <c r="D28" s="8">
        <f>TRUNC(51.39*(D27-1.5)^1.05)</f>
        <v>739</v>
      </c>
      <c r="E28" s="8">
        <f>TRUNC(0.8465*(E27-75)^1.42)</f>
        <v>496</v>
      </c>
      <c r="F28" s="8">
        <f>TRUNC(20.5173*(15.5-F27)^1.92)</f>
        <v>498</v>
      </c>
      <c r="G28" s="8">
        <f>TRUNC(0.2797*(G27-100)^1.35)</f>
        <v>549</v>
      </c>
      <c r="H28" s="8">
        <f>TRUNC(0.08713*(305.5-H27)^1.85)</f>
        <v>582</v>
      </c>
      <c r="I28" s="15">
        <f>SUM(B28:H28)</f>
        <v>3821</v>
      </c>
      <c r="J28" t="s">
        <v>50</v>
      </c>
    </row>
    <row r="29" spans="2:8" ht="12.75">
      <c r="B29" s="3"/>
      <c r="C29" s="3"/>
      <c r="D29" s="3"/>
      <c r="E29" s="3"/>
      <c r="F29" s="16"/>
      <c r="G29" s="3"/>
      <c r="H29" s="3"/>
    </row>
    <row r="30" spans="1:17" ht="12.75">
      <c r="A30" s="10">
        <v>55</v>
      </c>
      <c r="B30" s="7">
        <v>8.66</v>
      </c>
      <c r="C30" s="8">
        <v>414</v>
      </c>
      <c r="D30" s="7">
        <v>11.7</v>
      </c>
      <c r="E30" s="8">
        <v>139</v>
      </c>
      <c r="F30" s="7">
        <v>11.52</v>
      </c>
      <c r="G30" s="8">
        <v>300</v>
      </c>
      <c r="H30" s="7">
        <f>3*60+45.23</f>
        <v>225.23</v>
      </c>
      <c r="K30" s="7"/>
      <c r="L30" s="8"/>
      <c r="M30" s="7"/>
      <c r="N30" s="8"/>
      <c r="O30" s="7"/>
      <c r="P30" s="8"/>
      <c r="Q30" s="7"/>
    </row>
    <row r="31" spans="1:8" ht="12.75">
      <c r="A31" s="2"/>
      <c r="B31" s="2">
        <v>0.8695</v>
      </c>
      <c r="C31" s="2">
        <v>1.3121</v>
      </c>
      <c r="D31" s="2">
        <v>1.2706</v>
      </c>
      <c r="E31" s="2">
        <v>1.228</v>
      </c>
      <c r="F31" s="2">
        <v>0.855</v>
      </c>
      <c r="G31" s="2">
        <v>1.3182</v>
      </c>
      <c r="H31" s="2">
        <v>0.8364</v>
      </c>
    </row>
    <row r="32" spans="1:8" ht="12.75">
      <c r="A32" s="2"/>
      <c r="B32" s="11">
        <f>+ROUNDUP((B30*B31),2)</f>
        <v>7.529999999999999</v>
      </c>
      <c r="C32" s="1">
        <f>+TRUNC((C30*C31),0)</f>
        <v>543</v>
      </c>
      <c r="D32" s="11">
        <f>+TRUNC((D30*D31),2)</f>
        <v>14.86</v>
      </c>
      <c r="E32" s="1">
        <f>+TRUNC((E30*E31),0)</f>
        <v>170</v>
      </c>
      <c r="F32" s="11">
        <f>+ROUNDUP((F30*F31),2)</f>
        <v>9.85</v>
      </c>
      <c r="G32" s="1">
        <f>+TRUNC((G30*G31),0)</f>
        <v>395</v>
      </c>
      <c r="H32" s="11">
        <f>+ROUNDUP((H30*H31),2)</f>
        <v>188.39</v>
      </c>
    </row>
    <row r="33" spans="1:10" ht="12.75">
      <c r="A33" s="1"/>
      <c r="B33" s="8">
        <f>TRUNC(58.015*(11.5-B32)^1.81)</f>
        <v>703</v>
      </c>
      <c r="C33" s="8">
        <f>TRUNC(0.14354*(C32-220)^1.4)</f>
        <v>467</v>
      </c>
      <c r="D33" s="8">
        <f>TRUNC(51.39*(D32-1.5)^1.05)</f>
        <v>781</v>
      </c>
      <c r="E33" s="8">
        <f>TRUNC(0.8465*(E32-75)^1.42)</f>
        <v>544</v>
      </c>
      <c r="F33" s="8">
        <f>TRUNC(20.5173*(15.5-F32)^1.92)</f>
        <v>570</v>
      </c>
      <c r="G33" s="8">
        <f>TRUNC(0.2797*(G32-100)^1.35)</f>
        <v>603</v>
      </c>
      <c r="H33" s="8">
        <f>TRUNC(0.08713*(305.5-H32)^1.85)</f>
        <v>584</v>
      </c>
      <c r="I33" s="15">
        <f>SUM(B33:H33)</f>
        <v>4252</v>
      </c>
      <c r="J33" t="s">
        <v>50</v>
      </c>
    </row>
    <row r="34" spans="1:8" ht="12.75">
      <c r="A34" t="s">
        <v>0</v>
      </c>
      <c r="B34" s="2"/>
      <c r="C34" s="2"/>
      <c r="D34" s="2"/>
      <c r="E34" s="2"/>
      <c r="F34" s="16"/>
      <c r="G34" s="2"/>
      <c r="H34" s="2"/>
    </row>
    <row r="35" spans="1:8" ht="12.75">
      <c r="A35" s="10">
        <v>60</v>
      </c>
      <c r="B35" s="7">
        <v>9.16</v>
      </c>
      <c r="C35" s="8">
        <v>443</v>
      </c>
      <c r="D35" s="7">
        <v>9.61</v>
      </c>
      <c r="E35" s="8">
        <v>130</v>
      </c>
      <c r="F35" s="7">
        <v>10.48</v>
      </c>
      <c r="G35" s="8">
        <v>256</v>
      </c>
      <c r="H35" s="7">
        <v>213.85</v>
      </c>
    </row>
    <row r="36" spans="1:8" ht="12.75">
      <c r="A36" s="2"/>
      <c r="B36" s="2">
        <v>0.8404</v>
      </c>
      <c r="C36" s="2">
        <v>1.4078</v>
      </c>
      <c r="D36" s="2">
        <v>1.2482</v>
      </c>
      <c r="E36" s="2">
        <v>1.3025</v>
      </c>
      <c r="F36" s="2">
        <v>0.8312</v>
      </c>
      <c r="G36" s="2">
        <v>1.4236</v>
      </c>
      <c r="H36" s="2">
        <v>0.7968</v>
      </c>
    </row>
    <row r="37" spans="1:8" ht="12.75">
      <c r="A37" s="2"/>
      <c r="B37" s="11">
        <f>+ROUNDUP((B35*B36),2)</f>
        <v>7.7</v>
      </c>
      <c r="C37" s="1">
        <f>+TRUNC((C35*C36),0)</f>
        <v>623</v>
      </c>
      <c r="D37" s="11">
        <f>+TRUNC((D35*D36),2)</f>
        <v>11.99</v>
      </c>
      <c r="E37" s="1">
        <f>+TRUNC((E35*E36),0)</f>
        <v>169</v>
      </c>
      <c r="F37" s="11">
        <f>+ROUNDUP((F35*F36),2)</f>
        <v>8.72</v>
      </c>
      <c r="G37" s="1">
        <f>+TRUNC((G35*G36),0)</f>
        <v>364</v>
      </c>
      <c r="H37" s="11">
        <f>+ROUNDUP((H35*H36),2)</f>
        <v>170.39999999999998</v>
      </c>
    </row>
    <row r="38" spans="1:10" ht="12.75">
      <c r="A38" s="1"/>
      <c r="B38" s="8">
        <f>TRUNC(58.015*(11.5-B37)^1.81)</f>
        <v>650</v>
      </c>
      <c r="C38" s="8">
        <f>TRUNC(0.14354*(C37-220)^1.4)</f>
        <v>637</v>
      </c>
      <c r="D38" s="8">
        <f>TRUNC(51.39*(D37-1.5)^1.05)</f>
        <v>606</v>
      </c>
      <c r="E38" s="8">
        <f>TRUNC(0.8465*(E37-75)^1.42)</f>
        <v>536</v>
      </c>
      <c r="F38" s="8">
        <f>TRUNC(20.5173*(15.5-F37)^1.92)</f>
        <v>809</v>
      </c>
      <c r="G38" s="8">
        <f>TRUNC(0.2797*(G37-100)^1.35)</f>
        <v>519</v>
      </c>
      <c r="H38" s="8">
        <f>TRUNC(0.08713*(305.5-H37)^1.85)</f>
        <v>761</v>
      </c>
      <c r="I38" s="15">
        <f>SUM(B38:H38)</f>
        <v>4518</v>
      </c>
      <c r="J38" t="s">
        <v>51</v>
      </c>
    </row>
    <row r="39" spans="2:8" ht="12.75">
      <c r="B39" s="3"/>
      <c r="C39" s="3"/>
      <c r="D39" s="3"/>
      <c r="E39" s="3"/>
      <c r="F39" s="16"/>
      <c r="G39" s="3"/>
      <c r="H39" s="3"/>
    </row>
    <row r="40" spans="1:16" ht="12.75">
      <c r="A40" s="10">
        <v>65</v>
      </c>
      <c r="B40" s="7">
        <v>9.94</v>
      </c>
      <c r="C40" s="8">
        <v>393</v>
      </c>
      <c r="D40" s="7">
        <v>10.06</v>
      </c>
      <c r="E40" s="8">
        <v>139</v>
      </c>
      <c r="F40" s="7">
        <v>11.88</v>
      </c>
      <c r="G40" s="8">
        <v>276</v>
      </c>
      <c r="H40" s="7">
        <v>246.22</v>
      </c>
      <c r="J40" s="7"/>
      <c r="K40" s="8"/>
      <c r="L40" s="7"/>
      <c r="M40" s="8"/>
      <c r="N40" s="7"/>
      <c r="O40" s="8"/>
      <c r="P40" s="7"/>
    </row>
    <row r="41" spans="1:8" ht="12.75">
      <c r="A41" s="2"/>
      <c r="B41" s="2">
        <v>0.8101</v>
      </c>
      <c r="C41" s="2">
        <v>1.5186</v>
      </c>
      <c r="D41" s="2">
        <v>1.3607</v>
      </c>
      <c r="E41" s="2">
        <v>1.3869</v>
      </c>
      <c r="F41" s="2">
        <v>0.794</v>
      </c>
      <c r="G41" s="2">
        <v>1.5475</v>
      </c>
      <c r="H41" s="2">
        <v>0.7561</v>
      </c>
    </row>
    <row r="42" spans="1:8" ht="12.75">
      <c r="A42" s="2"/>
      <c r="B42" s="11">
        <f>+ROUNDUP((B40*B41),2)</f>
        <v>8.06</v>
      </c>
      <c r="C42" s="1">
        <f>+TRUNC((C40*C41),0)</f>
        <v>596</v>
      </c>
      <c r="D42" s="11">
        <f>+TRUNC((D40*D41),2)</f>
        <v>13.68</v>
      </c>
      <c r="E42" s="1">
        <f>+TRUNC((E40*E41),0)</f>
        <v>192</v>
      </c>
      <c r="F42" s="11">
        <f>+ROUNDUP((F40*F41),2)</f>
        <v>9.44</v>
      </c>
      <c r="G42" s="1">
        <f>+TRUNC((G40*G41),0)</f>
        <v>427</v>
      </c>
      <c r="H42" s="11">
        <f>+ROUNDUP((H40*H41),2)</f>
        <v>186.17</v>
      </c>
    </row>
    <row r="43" spans="1:10" ht="12.75">
      <c r="A43" s="1"/>
      <c r="B43" s="8">
        <f>TRUNC(58.015*(11.5-B42)^1.81)</f>
        <v>542</v>
      </c>
      <c r="C43" s="8">
        <f>TRUNC(0.14354*(C42-220)^1.4)</f>
        <v>578</v>
      </c>
      <c r="D43" s="8">
        <f>TRUNC(51.39*(D42-1.5)^1.05)</f>
        <v>709</v>
      </c>
      <c r="E43" s="8">
        <f>TRUNC(0.8465*(E42-75)^1.42)</f>
        <v>731</v>
      </c>
      <c r="F43" s="8">
        <f>TRUNC(20.5173*(15.5-F42)^1.92)</f>
        <v>652</v>
      </c>
      <c r="G43" s="8">
        <f>TRUNC(0.2797*(G42-100)^1.35)</f>
        <v>693</v>
      </c>
      <c r="H43" s="8">
        <f>TRUNC(0.08713*(305.5-H42)^1.85)</f>
        <v>605</v>
      </c>
      <c r="I43" s="15">
        <f>SUM(B43:H43)</f>
        <v>4510</v>
      </c>
      <c r="J43" t="s">
        <v>45</v>
      </c>
    </row>
    <row r="44" spans="3:8" ht="12.75">
      <c r="C44" s="2"/>
      <c r="D44" s="2"/>
      <c r="E44" s="2"/>
      <c r="F44" s="16"/>
      <c r="G44" s="2"/>
      <c r="H44" s="2"/>
    </row>
    <row r="45" spans="1:8" ht="12.75">
      <c r="A45" s="10">
        <v>70</v>
      </c>
      <c r="B45" s="7">
        <v>9.94</v>
      </c>
      <c r="C45" s="8">
        <v>393</v>
      </c>
      <c r="D45" s="7">
        <v>10.06</v>
      </c>
      <c r="E45" s="8">
        <v>139</v>
      </c>
      <c r="F45" s="7">
        <v>11.88</v>
      </c>
      <c r="G45" s="8">
        <v>276</v>
      </c>
      <c r="H45" s="7">
        <v>246.22</v>
      </c>
    </row>
    <row r="46" spans="1:8" ht="12.75">
      <c r="A46" s="2"/>
      <c r="B46" s="2">
        <v>0.7772</v>
      </c>
      <c r="C46" s="2">
        <v>1.6482</v>
      </c>
      <c r="D46" s="57">
        <v>1.2806</v>
      </c>
      <c r="E46" s="2">
        <v>1.4832</v>
      </c>
      <c r="F46" s="2">
        <v>0.7714</v>
      </c>
      <c r="G46" s="2">
        <v>1.6949</v>
      </c>
      <c r="H46" s="2">
        <v>0.7111</v>
      </c>
    </row>
    <row r="47" spans="1:8" ht="12.75">
      <c r="A47" s="2"/>
      <c r="B47" s="11">
        <f>+ROUNDUP((B45*B46),2)</f>
        <v>7.7299999999999995</v>
      </c>
      <c r="C47" s="1">
        <f>+TRUNC((C45*C46),0)</f>
        <v>647</v>
      </c>
      <c r="D47" s="11">
        <f>+TRUNC((D45*D46),2)</f>
        <v>12.88</v>
      </c>
      <c r="E47" s="1">
        <f>+TRUNC((E45*E46),0)</f>
        <v>206</v>
      </c>
      <c r="F47" s="11">
        <f>+ROUNDUP((F45*F46),2)</f>
        <v>9.17</v>
      </c>
      <c r="G47" s="1">
        <f>+TRUNC((G45*G46),0)</f>
        <v>467</v>
      </c>
      <c r="H47" s="11">
        <f>+ROUNDUP((H45*H46),2)</f>
        <v>175.09</v>
      </c>
    </row>
    <row r="48" spans="1:9" ht="12.75">
      <c r="A48" s="1"/>
      <c r="B48" s="8">
        <f>TRUNC(58.015*(11.5-B47)^1.81)</f>
        <v>640</v>
      </c>
      <c r="C48" s="8">
        <f>TRUNC(0.14354*(C47-220)^1.4)</f>
        <v>691</v>
      </c>
      <c r="D48" s="8">
        <f>TRUNC(51.39*(D47-1.5)^1.05)</f>
        <v>660</v>
      </c>
      <c r="E48" s="8">
        <f>TRUNC(0.8465*(E47-75)^1.42)</f>
        <v>859</v>
      </c>
      <c r="F48" s="8">
        <f>TRUNC(20.5173*(15.5-F47)^1.92)</f>
        <v>709</v>
      </c>
      <c r="G48" s="8">
        <f>TRUNC(0.2797*(G47-100)^1.35)</f>
        <v>810</v>
      </c>
      <c r="H48" s="8">
        <f>TRUNC(0.08713*(305.5-H47)^1.85)</f>
        <v>713</v>
      </c>
      <c r="I48" s="15">
        <f>SUM(B48:H48)</f>
        <v>5082</v>
      </c>
    </row>
    <row r="49" spans="3:8" ht="12.75">
      <c r="C49" s="2"/>
      <c r="D49" s="2"/>
      <c r="E49" s="2"/>
      <c r="F49" s="16"/>
      <c r="G49" s="2"/>
      <c r="H49" s="2"/>
    </row>
    <row r="50" spans="1:8" ht="12.75">
      <c r="A50" s="10">
        <v>75</v>
      </c>
      <c r="B50" s="7">
        <v>9.94</v>
      </c>
      <c r="C50" s="8">
        <v>393</v>
      </c>
      <c r="D50" s="7">
        <v>10.06</v>
      </c>
      <c r="E50" s="8">
        <v>139</v>
      </c>
      <c r="F50" s="7">
        <v>11.88</v>
      </c>
      <c r="G50" s="8">
        <v>276</v>
      </c>
      <c r="H50" s="7">
        <v>246.22</v>
      </c>
    </row>
    <row r="51" spans="1:8" ht="12.75">
      <c r="A51" s="2"/>
      <c r="B51" s="2">
        <v>0.7399</v>
      </c>
      <c r="C51" s="2">
        <v>1.8021</v>
      </c>
      <c r="D51" s="57">
        <v>1.3993</v>
      </c>
      <c r="E51" s="2">
        <v>1.5943</v>
      </c>
      <c r="F51" s="2">
        <v>0.7328</v>
      </c>
      <c r="G51" s="2">
        <v>1.8733</v>
      </c>
      <c r="H51" s="2">
        <v>0.6588</v>
      </c>
    </row>
    <row r="52" spans="1:8" ht="12.75">
      <c r="A52" s="2"/>
      <c r="B52" s="11">
        <f>+ROUNDUP((B50*B51),2)</f>
        <v>7.359999999999999</v>
      </c>
      <c r="C52" s="1">
        <f>+TRUNC((C50*C51),0)</f>
        <v>708</v>
      </c>
      <c r="D52" s="11">
        <f>+TRUNC((D50*D51),2)</f>
        <v>14.07</v>
      </c>
      <c r="E52" s="1">
        <f>+TRUNC((E50*E51),0)</f>
        <v>221</v>
      </c>
      <c r="F52" s="11">
        <f>+ROUNDUP((F50*F51),2)</f>
        <v>8.709999999999999</v>
      </c>
      <c r="G52" s="1">
        <f>+TRUNC((G50*G51),0)</f>
        <v>517</v>
      </c>
      <c r="H52" s="11">
        <f>+ROUNDUP((H50*H51),2)</f>
        <v>162.20999999999998</v>
      </c>
    </row>
    <row r="53" spans="1:9" ht="12.75">
      <c r="A53" s="1"/>
      <c r="B53" s="8">
        <f>TRUNC(58.015*(11.5-B52)^1.81)</f>
        <v>759</v>
      </c>
      <c r="C53" s="8">
        <f>TRUNC(0.14354*(C52-220)^1.4)</f>
        <v>833</v>
      </c>
      <c r="D53" s="8">
        <f>TRUNC(51.39*(D52-1.5)^1.05)</f>
        <v>733</v>
      </c>
      <c r="E53" s="8">
        <f>TRUNC(0.8465*(E52-75)^1.42)</f>
        <v>1002</v>
      </c>
      <c r="F53" s="8">
        <f>TRUNC(20.5173*(15.5-F52)^1.92)</f>
        <v>811</v>
      </c>
      <c r="G53" s="8">
        <f>TRUNC(0.2797*(G52-100)^1.35)</f>
        <v>963</v>
      </c>
      <c r="H53" s="8">
        <f>TRUNC(0.08713*(305.5-H52)^1.85)</f>
        <v>849</v>
      </c>
      <c r="I53" s="15">
        <f>SUM(B53:H53)</f>
        <v>5950</v>
      </c>
    </row>
    <row r="54" spans="3:8" ht="12.75">
      <c r="C54" s="2"/>
      <c r="D54" s="2"/>
      <c r="E54" s="2"/>
      <c r="F54" s="16"/>
      <c r="G54" s="2"/>
      <c r="H54" s="2"/>
    </row>
    <row r="55" spans="1:8" ht="12.75">
      <c r="A55" s="10">
        <v>80</v>
      </c>
      <c r="B55" s="7">
        <v>9.94</v>
      </c>
      <c r="C55" s="8">
        <v>393</v>
      </c>
      <c r="D55" s="7">
        <v>10.06</v>
      </c>
      <c r="E55" s="8">
        <v>139</v>
      </c>
      <c r="F55" s="7">
        <v>11.88</v>
      </c>
      <c r="G55" s="8">
        <v>276</v>
      </c>
      <c r="H55" s="7">
        <v>246.22</v>
      </c>
    </row>
    <row r="56" spans="1:8" ht="12.75">
      <c r="A56" s="2"/>
      <c r="B56" s="2">
        <v>0.6957</v>
      </c>
      <c r="C56" s="2">
        <v>1.9876</v>
      </c>
      <c r="D56" s="57">
        <v>1.5053</v>
      </c>
      <c r="E56" s="2">
        <v>1.7241</v>
      </c>
      <c r="F56" s="2">
        <v>0.6826</v>
      </c>
      <c r="G56" s="2">
        <v>2.0938</v>
      </c>
      <c r="H56" s="2">
        <v>0.5952</v>
      </c>
    </row>
    <row r="57" spans="1:8" ht="12.75">
      <c r="A57" s="2"/>
      <c r="B57" s="11">
        <f>+ROUNDUP((B55*B56),2)</f>
        <v>6.92</v>
      </c>
      <c r="C57" s="1">
        <f>+TRUNC((C55*C56),0)</f>
        <v>781</v>
      </c>
      <c r="D57" s="11">
        <f>+TRUNC((D55*D56),2)</f>
        <v>15.14</v>
      </c>
      <c r="E57" s="1">
        <f>+TRUNC((E55*E56),0)</f>
        <v>239</v>
      </c>
      <c r="F57" s="11">
        <f>+ROUNDUP((F55*F56),2)</f>
        <v>8.11</v>
      </c>
      <c r="G57" s="1">
        <f>+TRUNC((G55*G56),0)</f>
        <v>577</v>
      </c>
      <c r="H57" s="11">
        <f>+ROUNDUP((H55*H56),2)</f>
        <v>146.56</v>
      </c>
    </row>
    <row r="58" spans="1:9" ht="12.75">
      <c r="A58" s="1"/>
      <c r="B58" s="8">
        <f>TRUNC(58.015*(11.5-B57)^1.81)</f>
        <v>911</v>
      </c>
      <c r="C58" s="8">
        <f>TRUNC(0.14354*(C57-220)^1.4)</f>
        <v>1012</v>
      </c>
      <c r="D58" s="8">
        <f>TRUNC(51.39*(D57-1.5)^1.05)</f>
        <v>798</v>
      </c>
      <c r="E58" s="8">
        <f>TRUNC(0.8465*(E57-75)^1.42)</f>
        <v>1182</v>
      </c>
      <c r="F58" s="8">
        <f>TRUNC(20.5173*(15.5-F57)^1.92)</f>
        <v>954</v>
      </c>
      <c r="G58" s="8">
        <f>TRUNC(0.2797*(G57-100)^1.35)</f>
        <v>1155</v>
      </c>
      <c r="H58" s="8">
        <f>TRUNC(0.08713*(305.5-H57)^1.85)</f>
        <v>1029</v>
      </c>
      <c r="I58" s="15">
        <f>SUM(B58:H58)</f>
        <v>7041</v>
      </c>
    </row>
    <row r="59" spans="3:8" ht="12.75">
      <c r="C59" s="2"/>
      <c r="D59" s="2"/>
      <c r="E59" s="2"/>
      <c r="F59" s="16"/>
      <c r="G59" s="2"/>
      <c r="H59" s="2"/>
    </row>
    <row r="60" spans="1:8" ht="12.75">
      <c r="A60" s="10">
        <v>85</v>
      </c>
      <c r="B60" s="7">
        <v>9.94</v>
      </c>
      <c r="C60" s="8">
        <v>393</v>
      </c>
      <c r="D60" s="7">
        <v>10.06</v>
      </c>
      <c r="E60" s="8">
        <v>139</v>
      </c>
      <c r="F60" s="7">
        <v>11.88</v>
      </c>
      <c r="G60" s="8">
        <v>276</v>
      </c>
      <c r="H60" s="7">
        <v>246.22</v>
      </c>
    </row>
    <row r="61" spans="1:8" ht="12.75">
      <c r="A61" s="2"/>
      <c r="B61" s="2">
        <v>0.6413</v>
      </c>
      <c r="C61" s="2">
        <v>2.2158</v>
      </c>
      <c r="D61" s="57">
        <v>1.6866</v>
      </c>
      <c r="E61" s="2">
        <v>1.8779</v>
      </c>
      <c r="F61" s="2">
        <v>0.6178</v>
      </c>
      <c r="G61" s="2">
        <v>2.373</v>
      </c>
      <c r="H61" s="2">
        <v>0.5153</v>
      </c>
    </row>
    <row r="62" spans="1:8" ht="12.75">
      <c r="A62" s="2"/>
      <c r="B62" s="11">
        <f>+ROUNDUP((B60*B61),2)</f>
        <v>6.38</v>
      </c>
      <c r="C62" s="1">
        <f>+TRUNC((C60*C61),0)</f>
        <v>870</v>
      </c>
      <c r="D62" s="22">
        <f>+TRUNC((D60*D61),2)</f>
        <v>16.96</v>
      </c>
      <c r="E62" s="1">
        <f>+TRUNC((E60*E61),0)</f>
        <v>261</v>
      </c>
      <c r="F62" s="11">
        <f>+ROUNDUP((F60*F61),2)</f>
        <v>7.34</v>
      </c>
      <c r="G62" s="1">
        <f>+TRUNC((G60*G61),0)</f>
        <v>654</v>
      </c>
      <c r="H62" s="11">
        <f>+ROUNDUP((H60*H61),2)</f>
        <v>126.88000000000001</v>
      </c>
    </row>
    <row r="63" spans="1:9" ht="12.75">
      <c r="A63" s="1"/>
      <c r="B63" s="8">
        <f>TRUNC(58.015*(11.5-B62)^1.81)</f>
        <v>1115</v>
      </c>
      <c r="C63" s="8">
        <f>TRUNC(0.14354*(C62-220)^1.4)</f>
        <v>1244</v>
      </c>
      <c r="D63" s="23">
        <f>TRUNC(51.39*(D62-1.5)^1.05)</f>
        <v>911</v>
      </c>
      <c r="E63" s="8">
        <f>TRUNC(0.8465*(E62-75)^1.42)</f>
        <v>1413</v>
      </c>
      <c r="F63" s="8">
        <f>TRUNC(20.5173*(15.5-F62)^1.92)</f>
        <v>1154</v>
      </c>
      <c r="G63" s="8">
        <f>TRUNC(0.2797*(G62-100)^1.35)</f>
        <v>1413</v>
      </c>
      <c r="H63" s="8">
        <f>TRUNC(0.08713*(305.5-H62)^1.85)</f>
        <v>1277</v>
      </c>
      <c r="I63" s="15">
        <f>SUM(B63:H63)</f>
        <v>8527</v>
      </c>
    </row>
    <row r="64" spans="3:8" ht="12.75">
      <c r="C64" s="2"/>
      <c r="D64" s="21"/>
      <c r="E64" s="2"/>
      <c r="F64" s="16"/>
      <c r="G64" s="2"/>
      <c r="H64" s="2"/>
    </row>
    <row r="65" spans="1:8" ht="12.75">
      <c r="A65" s="10">
        <v>90</v>
      </c>
      <c r="B65" s="7">
        <v>9.94</v>
      </c>
      <c r="C65" s="8">
        <v>393</v>
      </c>
      <c r="D65" s="7">
        <v>10.06</v>
      </c>
      <c r="E65" s="8">
        <v>139</v>
      </c>
      <c r="F65" s="7">
        <v>11.88</v>
      </c>
      <c r="G65" s="8">
        <v>276</v>
      </c>
      <c r="H65" s="7">
        <v>246.22</v>
      </c>
    </row>
    <row r="66" spans="1:8" ht="12.75">
      <c r="A66" s="2"/>
      <c r="B66" s="2">
        <v>0.5725</v>
      </c>
      <c r="C66" s="2">
        <v>2.5031</v>
      </c>
      <c r="D66" s="57">
        <v>1.9535</v>
      </c>
      <c r="E66" s="2">
        <v>2.0635</v>
      </c>
      <c r="F66" s="2">
        <v>0.5001</v>
      </c>
      <c r="G66" s="2">
        <v>2.7382</v>
      </c>
      <c r="H66" s="2">
        <v>0.4127</v>
      </c>
    </row>
    <row r="67" spans="1:8" ht="12.75">
      <c r="A67" s="2"/>
      <c r="B67" s="11">
        <f>+ROUNDUP((B65*B66),2)</f>
        <v>5.7</v>
      </c>
      <c r="C67" s="1">
        <f>+TRUNC((C65*C66),0)</f>
        <v>983</v>
      </c>
      <c r="D67" s="22">
        <f>+TRUNC((D65*D66),2)</f>
        <v>19.65</v>
      </c>
      <c r="E67" s="1">
        <f>+TRUNC((E65*E66),0)</f>
        <v>286</v>
      </c>
      <c r="F67" s="11">
        <f>+ROUNDUP((F65*F66),2)</f>
        <v>5.95</v>
      </c>
      <c r="G67" s="1">
        <f>+TRUNC((G65*G66),0)</f>
        <v>755</v>
      </c>
      <c r="H67" s="11">
        <f>+ROUNDUP((H65*H66),2)</f>
        <v>101.62</v>
      </c>
    </row>
    <row r="68" spans="1:9" ht="12.75">
      <c r="A68" s="1"/>
      <c r="B68" s="8">
        <f>TRUNC(58.015*(11.5-B67)^1.81)</f>
        <v>1397</v>
      </c>
      <c r="C68" s="8">
        <f>TRUNC(0.14354*(C67-220)^1.4)</f>
        <v>1557</v>
      </c>
      <c r="D68" s="23">
        <f>TRUNC(51.39*(D67-1.5)^1.05)</f>
        <v>1078</v>
      </c>
      <c r="E68" s="8">
        <f>TRUNC(0.8465*(E67-75)^1.42)</f>
        <v>1690</v>
      </c>
      <c r="F68" s="8">
        <f>TRUNC(20.5173*(15.5-F67)^1.92)</f>
        <v>1562</v>
      </c>
      <c r="G68" s="8">
        <f>TRUNC(0.2797*(G67-100)^1.35)</f>
        <v>1772</v>
      </c>
      <c r="H68" s="8">
        <f>TRUNC(0.08713*(305.5-H67)^1.85)</f>
        <v>1631</v>
      </c>
      <c r="I68" s="15">
        <f>SUM(B68:H68)</f>
        <v>10687</v>
      </c>
    </row>
    <row r="69" spans="3:8" ht="12.75">
      <c r="C69" s="2"/>
      <c r="D69" s="21"/>
      <c r="E69" s="2"/>
      <c r="F69" s="16"/>
      <c r="G69" s="2"/>
      <c r="H69" s="2"/>
    </row>
    <row r="70" spans="1:8" ht="12.75">
      <c r="A70" s="10">
        <v>95</v>
      </c>
      <c r="B70" s="7">
        <v>19.99</v>
      </c>
      <c r="C70" s="8">
        <v>299</v>
      </c>
      <c r="D70" s="25">
        <v>99.99</v>
      </c>
      <c r="E70" s="8">
        <v>999</v>
      </c>
      <c r="F70" s="7">
        <v>11.88</v>
      </c>
      <c r="G70" s="8">
        <v>999</v>
      </c>
      <c r="H70" s="7">
        <v>999.99</v>
      </c>
    </row>
    <row r="71" spans="1:8" ht="12.75">
      <c r="A71" s="2"/>
      <c r="B71" s="2">
        <v>0.484</v>
      </c>
      <c r="C71" s="2">
        <v>2.876</v>
      </c>
      <c r="D71" s="58">
        <v>2.54044</v>
      </c>
      <c r="E71" s="2">
        <v>2.2925</v>
      </c>
      <c r="F71" s="57">
        <v>0.4119</v>
      </c>
      <c r="G71" s="2">
        <v>3.2362</v>
      </c>
      <c r="H71" s="2">
        <v>0.2791</v>
      </c>
    </row>
    <row r="72" spans="1:8" ht="12.75">
      <c r="A72" s="2"/>
      <c r="B72" s="11">
        <f>+ROUNDUP((B70*B71),2)</f>
        <v>9.68</v>
      </c>
      <c r="C72" s="1">
        <f>+TRUNC((C70*C71),0)</f>
        <v>859</v>
      </c>
      <c r="D72" s="22">
        <f>+TRUNC((D70*D71),2)</f>
        <v>254.01</v>
      </c>
      <c r="E72" s="1">
        <f>+TRUNC((E70*E71),0)</f>
        <v>2290</v>
      </c>
      <c r="F72" s="11">
        <f>+ROUNDUP((F70*F71),2)</f>
        <v>4.8999999999999995</v>
      </c>
      <c r="G72" s="1">
        <f>+TRUNC((G70*G71),0)</f>
        <v>3232</v>
      </c>
      <c r="H72" s="11">
        <f>+ROUNDUP((H70*H71),2)</f>
        <v>279.09999999999997</v>
      </c>
    </row>
    <row r="73" spans="1:9" ht="12.75">
      <c r="A73" s="1"/>
      <c r="B73" s="8">
        <f>TRUNC(58.015*(11.5-B72)^1.81)</f>
        <v>171</v>
      </c>
      <c r="C73" s="8">
        <f>TRUNC(0.14354*(C72-220)^1.4)</f>
        <v>1215</v>
      </c>
      <c r="D73" s="23">
        <f>TRUNC(51.39*(D72-1.5)^1.05)</f>
        <v>17110</v>
      </c>
      <c r="E73" s="8">
        <f>TRUNC(0.8465*(E72-75)^1.42)</f>
        <v>47649</v>
      </c>
      <c r="F73" s="8">
        <f>TRUNC(20.5173*(15.5-F72)^1.92)</f>
        <v>1908</v>
      </c>
      <c r="G73" s="8">
        <f>TRUNC(0.2797*(G72-100)^1.35)</f>
        <v>14657</v>
      </c>
      <c r="H73" s="8">
        <f>TRUNC(0.08713*(305.5-H72)^1.85)</f>
        <v>37</v>
      </c>
      <c r="I73" s="15">
        <f>SUM(B73:H73)</f>
        <v>82747</v>
      </c>
    </row>
    <row r="74" spans="3:8" ht="12.75">
      <c r="C74" s="2"/>
      <c r="D74" s="21"/>
      <c r="E74" s="2"/>
      <c r="F74" s="4"/>
      <c r="G74" s="2"/>
      <c r="H74" s="2"/>
    </row>
    <row r="75" spans="1:8" ht="12.75">
      <c r="A75" s="10" t="s">
        <v>9</v>
      </c>
      <c r="B75" s="7">
        <v>29.99</v>
      </c>
      <c r="C75" s="8">
        <v>99</v>
      </c>
      <c r="D75" s="25">
        <v>99.99</v>
      </c>
      <c r="E75" s="8">
        <v>999</v>
      </c>
      <c r="F75" s="7">
        <v>11.88</v>
      </c>
      <c r="G75" s="8">
        <v>999</v>
      </c>
      <c r="H75" s="7">
        <v>999.99</v>
      </c>
    </row>
    <row r="76" spans="1:8" ht="12.75">
      <c r="A76" s="2"/>
      <c r="B76" s="57">
        <v>0.2783</v>
      </c>
      <c r="C76" s="57">
        <v>6.4392</v>
      </c>
      <c r="D76" s="57">
        <v>3.3512</v>
      </c>
      <c r="E76" s="57">
        <v>3.5</v>
      </c>
      <c r="F76" s="57">
        <v>0.3137</v>
      </c>
      <c r="G76" s="57">
        <v>4.8547</v>
      </c>
      <c r="H76" s="57">
        <v>0.1908</v>
      </c>
    </row>
    <row r="77" spans="1:8" ht="12.75">
      <c r="A77" s="2"/>
      <c r="B77" s="11">
        <f>+ROUNDUP((B75*B76),2)</f>
        <v>8.35</v>
      </c>
      <c r="C77" s="1">
        <f>+TRUNC((C75*C76),0)</f>
        <v>637</v>
      </c>
      <c r="D77" s="11">
        <f>+TRUNC((D75*D76),2)</f>
        <v>335.08</v>
      </c>
      <c r="E77" s="1">
        <f>+TRUNC((E75*E76),0)</f>
        <v>3496</v>
      </c>
      <c r="F77" s="11">
        <f>+ROUNDUP((F75*F76),2)</f>
        <v>3.73</v>
      </c>
      <c r="G77" s="1">
        <f>+TRUNC((G75*G76),0)</f>
        <v>4849</v>
      </c>
      <c r="H77" s="11">
        <f>+ROUNDUP((H75*H76),2)</f>
        <v>190.79999999999998</v>
      </c>
    </row>
    <row r="78" spans="1:9" ht="12.75">
      <c r="A78" s="1"/>
      <c r="B78" s="8">
        <f>TRUNC(58.015*(11.5-B77)^1.81)</f>
        <v>462</v>
      </c>
      <c r="C78" s="8">
        <f>TRUNC(0.14354*(C77-220)^1.4)</f>
        <v>668</v>
      </c>
      <c r="D78" s="8">
        <f>TRUNC(51.39*(D77-1.5)^1.05)</f>
        <v>22921</v>
      </c>
      <c r="E78" s="8">
        <f>TRUNC(0.8465*(E77-75)^1.42)</f>
        <v>88333</v>
      </c>
      <c r="F78" s="8">
        <f>TRUNC(20.5173*(15.5-F77)^1.92)</f>
        <v>2333</v>
      </c>
      <c r="G78" s="8">
        <f>TRUNC(0.2797*(G77-100)^1.35)</f>
        <v>25710</v>
      </c>
      <c r="H78" s="8">
        <f>TRUNC(0.08713*(305.5-H77)^1.85)</f>
        <v>562</v>
      </c>
      <c r="I78" s="15">
        <f>SUM(B78:H78)</f>
        <v>140989</v>
      </c>
    </row>
    <row r="79" spans="3:8" ht="12.75">
      <c r="C79" s="2"/>
      <c r="D79" s="2"/>
      <c r="E79" s="2"/>
      <c r="F79" s="4"/>
      <c r="G79" s="2"/>
      <c r="H79" s="2"/>
    </row>
    <row r="80" spans="3:8" ht="12.75">
      <c r="C80" s="2"/>
      <c r="D80" s="2"/>
      <c r="E80" s="2"/>
      <c r="F80" s="2"/>
      <c r="G80" s="2"/>
      <c r="H80" s="2"/>
    </row>
    <row r="81" spans="3:8" ht="12.75">
      <c r="C81" s="2"/>
      <c r="D81" s="2"/>
      <c r="E81" s="2"/>
      <c r="F81" s="2"/>
      <c r="G81" s="2"/>
      <c r="H81" s="2"/>
    </row>
    <row r="82" spans="3:8" ht="12.75">
      <c r="C82" s="2"/>
      <c r="D82" s="2"/>
      <c r="E82" s="2"/>
      <c r="F82" s="2"/>
      <c r="G82" s="2"/>
      <c r="H82" s="2"/>
    </row>
    <row r="83" spans="3:8" ht="12.75">
      <c r="C83" s="2"/>
      <c r="D83" s="2"/>
      <c r="E83" s="2"/>
      <c r="F83" s="2"/>
      <c r="G83" s="2"/>
      <c r="H83" s="2"/>
    </row>
    <row r="84" spans="3:8" ht="12.75">
      <c r="C84" s="2"/>
      <c r="D84" s="2"/>
      <c r="E84" s="2"/>
      <c r="F84" s="2"/>
      <c r="G84" s="2"/>
      <c r="H84" s="2"/>
    </row>
    <row r="85" spans="3:8" ht="12.75">
      <c r="C85" s="2"/>
      <c r="D85" s="2"/>
      <c r="E85" s="2"/>
      <c r="F85" s="2"/>
      <c r="G85" s="2"/>
      <c r="H85" s="2"/>
    </row>
    <row r="86" spans="3:8" ht="12.75">
      <c r="C86" s="2"/>
      <c r="D86" s="2"/>
      <c r="E86" s="2"/>
      <c r="F86" s="2"/>
      <c r="G86" s="2"/>
      <c r="H86" s="2"/>
    </row>
    <row r="87" spans="3:8" ht="12.75">
      <c r="C87" s="2"/>
      <c r="D87" s="2"/>
      <c r="E87" s="2"/>
      <c r="F87" s="2"/>
      <c r="G87" s="2"/>
      <c r="H87" s="2"/>
    </row>
    <row r="88" spans="3:8" ht="12.75">
      <c r="C88" s="2"/>
      <c r="D88" s="2"/>
      <c r="E88" s="2"/>
      <c r="F88" s="2"/>
      <c r="G88" s="2"/>
      <c r="H88" s="2"/>
    </row>
    <row r="89" spans="2:8" ht="12.75">
      <c r="B89" s="15"/>
      <c r="C89" s="2"/>
      <c r="D89" s="2"/>
      <c r="E89" s="2"/>
      <c r="F89" s="2"/>
      <c r="G89" s="2"/>
      <c r="H89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350" topLeftCell="A1" activePane="bottomLeft" state="split"/>
      <selection pane="topLeft" activeCell="A2" sqref="A2"/>
      <selection pane="bottomLeft" activeCell="A3" sqref="A3"/>
    </sheetView>
  </sheetViews>
  <sheetFormatPr defaultColWidth="9.140625" defaultRowHeight="12.75"/>
  <cols>
    <col min="2" max="2" width="12.7109375" style="0" customWidth="1"/>
    <col min="3" max="3" width="11.28125" style="0" customWidth="1"/>
    <col min="4" max="4" width="11.8515625" style="0" customWidth="1"/>
    <col min="5" max="5" width="11.00390625" style="0" customWidth="1"/>
    <col min="6" max="6" width="11.421875" style="0" customWidth="1"/>
    <col min="7" max="7" width="13.00390625" style="0" customWidth="1"/>
    <col min="8" max="8" width="12.00390625" style="0" customWidth="1"/>
    <col min="9" max="9" width="14.28125" style="0" customWidth="1"/>
    <col min="12" max="12" width="12.00390625" style="0" customWidth="1"/>
  </cols>
  <sheetData>
    <row r="1" ht="15.75">
      <c r="A1" s="17" t="s">
        <v>108</v>
      </c>
    </row>
    <row r="2" ht="15.75">
      <c r="A2" s="17"/>
    </row>
    <row r="3" spans="2:6" ht="12.75">
      <c r="B3" s="27" t="s">
        <v>38</v>
      </c>
      <c r="C3" s="27" t="s">
        <v>4</v>
      </c>
      <c r="D3" s="27" t="s">
        <v>2</v>
      </c>
      <c r="E3" s="27" t="s">
        <v>1</v>
      </c>
      <c r="F3" s="27" t="s">
        <v>39</v>
      </c>
    </row>
    <row r="4" spans="2:6" ht="12.75">
      <c r="B4" s="2"/>
      <c r="C4" s="2"/>
      <c r="D4" s="2"/>
      <c r="E4" s="2"/>
      <c r="F4" s="2"/>
    </row>
    <row r="5" spans="1:13" ht="12.75">
      <c r="A5" s="10">
        <v>30</v>
      </c>
      <c r="B5" s="7">
        <v>12.46</v>
      </c>
      <c r="C5" s="8">
        <v>486</v>
      </c>
      <c r="D5" s="7">
        <v>9.17</v>
      </c>
      <c r="E5" s="8">
        <v>133</v>
      </c>
      <c r="F5" s="7">
        <v>281.41</v>
      </c>
      <c r="I5" s="7"/>
      <c r="J5" s="8"/>
      <c r="K5" s="7"/>
      <c r="L5" s="8"/>
      <c r="M5" s="7"/>
    </row>
    <row r="6" spans="1:6" ht="12.75">
      <c r="A6" s="2"/>
      <c r="B6" s="21">
        <v>1</v>
      </c>
      <c r="C6" s="2">
        <v>1</v>
      </c>
      <c r="D6" s="2">
        <v>1</v>
      </c>
      <c r="E6" s="2">
        <v>1</v>
      </c>
      <c r="F6" s="2">
        <v>1</v>
      </c>
    </row>
    <row r="7" spans="1:9" ht="12.75">
      <c r="A7" s="2"/>
      <c r="B7" s="22">
        <f>+ROUNDUP((B5*B6),2)</f>
        <v>12.46</v>
      </c>
      <c r="C7" s="1">
        <f>+TRUNC((C5*C6),0)</f>
        <v>486</v>
      </c>
      <c r="D7" s="11">
        <f>+TRUNC((D5*D6),2)</f>
        <v>9.17</v>
      </c>
      <c r="E7" s="1">
        <f>+TRUNC((E5*E6),0)</f>
        <v>133</v>
      </c>
      <c r="F7" s="11">
        <f>+ROUNDUP((F5*F6),2)</f>
        <v>281.41</v>
      </c>
      <c r="H7" s="43"/>
      <c r="I7" s="19"/>
    </row>
    <row r="8" spans="1:9" ht="12.75">
      <c r="A8" s="1"/>
      <c r="B8" s="23">
        <f>TRUNC(20.5173*(15.5-B7)^1.92)</f>
        <v>173</v>
      </c>
      <c r="C8" s="8">
        <f>TRUNC(0.14354*(C7-220)^1.4)</f>
        <v>356</v>
      </c>
      <c r="D8" s="8">
        <f>TRUNC(51.39*(D7-1.5)^1.05)</f>
        <v>436</v>
      </c>
      <c r="E8" s="8">
        <f>TRUNC(0.8465*(E7-75)^1.42)</f>
        <v>270</v>
      </c>
      <c r="F8" s="8">
        <f>TRUNC(0.08713*(305.5-F7)^1.85)</f>
        <v>31</v>
      </c>
      <c r="G8" s="44">
        <f>SUM(B8:F8)</f>
        <v>1266</v>
      </c>
      <c r="H8" s="42" t="s">
        <v>106</v>
      </c>
      <c r="I8" s="19"/>
    </row>
    <row r="9" spans="2:6" ht="12.75">
      <c r="B9" s="2"/>
      <c r="C9" s="2"/>
      <c r="D9" s="2"/>
      <c r="E9" s="2"/>
      <c r="F9" s="2"/>
    </row>
    <row r="10" spans="1:14" ht="12.75">
      <c r="A10" s="10">
        <v>35</v>
      </c>
      <c r="B10" s="7">
        <v>8.89</v>
      </c>
      <c r="C10" s="8">
        <v>606</v>
      </c>
      <c r="D10" s="7">
        <v>13.15</v>
      </c>
      <c r="E10" s="8">
        <v>178</v>
      </c>
      <c r="F10" s="7">
        <v>195.39</v>
      </c>
      <c r="H10" s="7"/>
      <c r="I10" s="7"/>
      <c r="J10" s="8"/>
      <c r="K10" s="7"/>
      <c r="L10" s="8"/>
      <c r="M10" s="7"/>
      <c r="N10" s="7"/>
    </row>
    <row r="11" spans="1:6" ht="12.75">
      <c r="A11" s="2"/>
      <c r="B11" s="21">
        <v>0.9838</v>
      </c>
      <c r="C11" s="2">
        <v>1.0317</v>
      </c>
      <c r="D11" s="2">
        <v>1.0372</v>
      </c>
      <c r="E11" s="2">
        <v>1.026</v>
      </c>
      <c r="F11" s="2">
        <v>0.9928</v>
      </c>
    </row>
    <row r="12" spans="1:9" ht="12.75">
      <c r="A12" s="2"/>
      <c r="B12" s="22">
        <f>+ROUNDUP((B10*B11),2)</f>
        <v>8.75</v>
      </c>
      <c r="C12" s="1">
        <f>+TRUNC((C10*C11),0)</f>
        <v>625</v>
      </c>
      <c r="D12" s="11">
        <f>+TRUNC((D10*D11),2)</f>
        <v>13.63</v>
      </c>
      <c r="E12" s="1">
        <f>+TRUNC((E10*E11),0)</f>
        <v>182</v>
      </c>
      <c r="F12" s="11">
        <f>+ROUNDUP((F10*F11),2)</f>
        <v>193.98999999999998</v>
      </c>
      <c r="H12" s="43"/>
      <c r="I12" s="54"/>
    </row>
    <row r="13" spans="1:9" ht="12.75">
      <c r="A13" s="1"/>
      <c r="B13" s="23">
        <f>TRUNC(20.5173*(15.5-B12)^1.92)</f>
        <v>802</v>
      </c>
      <c r="C13" s="8">
        <f>TRUNC(0.14354*(C12-220)^1.4)</f>
        <v>641</v>
      </c>
      <c r="D13" s="8">
        <f>TRUNC(51.39*(D12-1.5)^1.05)</f>
        <v>706</v>
      </c>
      <c r="E13" s="8">
        <f>TRUNC(0.8465*(E12-75)^1.42)</f>
        <v>644</v>
      </c>
      <c r="F13" s="8">
        <f>TRUNC(0.08713*(305.5-F12)^1.85)</f>
        <v>534</v>
      </c>
      <c r="G13" s="44">
        <f>SUM(B13:F13)</f>
        <v>3327</v>
      </c>
      <c r="H13" s="42" t="s">
        <v>97</v>
      </c>
      <c r="I13" s="56"/>
    </row>
    <row r="14" spans="2:6" ht="12.75">
      <c r="B14" s="24"/>
      <c r="C14" s="5"/>
      <c r="D14" s="5"/>
      <c r="E14" s="5"/>
      <c r="F14" s="5"/>
    </row>
    <row r="15" spans="1:12" ht="12.75">
      <c r="A15" s="10">
        <v>40</v>
      </c>
      <c r="B15" s="25">
        <v>9.14</v>
      </c>
      <c r="C15" s="8">
        <v>594</v>
      </c>
      <c r="D15" s="7">
        <v>14.45</v>
      </c>
      <c r="E15" s="8">
        <v>175</v>
      </c>
      <c r="F15" s="7">
        <f>3*60+29.37</f>
        <v>209.37</v>
      </c>
      <c r="H15" s="25"/>
      <c r="I15" s="8"/>
      <c r="J15" s="7"/>
      <c r="K15" s="8"/>
      <c r="L15" s="7"/>
    </row>
    <row r="16" spans="1:6" ht="12.75">
      <c r="A16" s="2"/>
      <c r="B16" s="21">
        <v>0.9466</v>
      </c>
      <c r="C16" s="2">
        <v>1.0899</v>
      </c>
      <c r="D16" s="2">
        <v>1.1137</v>
      </c>
      <c r="E16" s="2">
        <v>1.0486</v>
      </c>
      <c r="F16" s="2">
        <v>0.9537</v>
      </c>
    </row>
    <row r="17" spans="1:6" ht="12.75">
      <c r="A17" s="2"/>
      <c r="B17" s="22">
        <f>+ROUNDUP((B15*B16),2)</f>
        <v>8.66</v>
      </c>
      <c r="C17" s="1">
        <f>+TRUNC((C15*C16),0)</f>
        <v>647</v>
      </c>
      <c r="D17" s="11">
        <f>+TRUNC((D15*D16),2)</f>
        <v>16.09</v>
      </c>
      <c r="E17" s="1">
        <f>+TRUNC((E15*E16),0)</f>
        <v>183</v>
      </c>
      <c r="F17" s="11">
        <f>+ROUNDUP((F15*F16),2)</f>
        <v>199.67999999999998</v>
      </c>
    </row>
    <row r="18" spans="1:9" ht="12.75">
      <c r="A18" s="8"/>
      <c r="B18" s="23">
        <f>TRUNC(20.5173*(15.5-B17)^1.92)</f>
        <v>823</v>
      </c>
      <c r="C18" s="8">
        <f>TRUNC(0.14354*(C17-220)^1.4)</f>
        <v>691</v>
      </c>
      <c r="D18" s="8">
        <f>TRUNC(51.39*(D17-1.5)^1.05)</f>
        <v>857</v>
      </c>
      <c r="E18" s="8">
        <f>TRUNC(0.8465*(E17-75)^1.42)</f>
        <v>653</v>
      </c>
      <c r="F18" s="8">
        <f>TRUNC(0.08713*(305.5-F17)^1.85)</f>
        <v>484</v>
      </c>
      <c r="G18" s="15">
        <f>SUM(B18:F18)</f>
        <v>3508</v>
      </c>
      <c r="H18" t="s">
        <v>43</v>
      </c>
      <c r="I18" s="15"/>
    </row>
    <row r="19" spans="1:6" ht="12.75">
      <c r="A19" s="6"/>
      <c r="B19" s="24"/>
      <c r="C19" s="5"/>
      <c r="D19" s="5"/>
      <c r="E19" s="5"/>
      <c r="F19" s="5"/>
    </row>
    <row r="20" spans="1:12" ht="12.75">
      <c r="A20" s="10">
        <v>45</v>
      </c>
      <c r="B20" s="25">
        <v>9.76</v>
      </c>
      <c r="C20" s="8">
        <v>572</v>
      </c>
      <c r="D20" s="7">
        <v>11.29</v>
      </c>
      <c r="E20" s="8">
        <v>166</v>
      </c>
      <c r="F20" s="7">
        <f>3*60+34.88</f>
        <v>214.88</v>
      </c>
      <c r="H20" s="25"/>
      <c r="I20" s="8"/>
      <c r="J20" s="7"/>
      <c r="K20" s="8"/>
      <c r="L20" s="7"/>
    </row>
    <row r="21" spans="1:6" ht="12.75">
      <c r="A21" s="2"/>
      <c r="B21" s="21">
        <v>0.9094</v>
      </c>
      <c r="C21" s="2">
        <v>1.1551</v>
      </c>
      <c r="D21" s="2">
        <v>1.2023</v>
      </c>
      <c r="E21" s="2">
        <v>1.1022</v>
      </c>
      <c r="F21" s="2">
        <v>0.9146</v>
      </c>
    </row>
    <row r="22" spans="1:6" ht="12.75">
      <c r="A22" s="2"/>
      <c r="B22" s="11">
        <f>+ROUNDUP((B20*B21),2)</f>
        <v>8.879999999999999</v>
      </c>
      <c r="C22" s="1">
        <f>+TRUNC((C20*C21),0)</f>
        <v>660</v>
      </c>
      <c r="D22" s="11">
        <f>+TRUNC((D20*D21),2)</f>
        <v>13.57</v>
      </c>
      <c r="E22" s="1">
        <f>+TRUNC((E20*E21),0)</f>
        <v>182</v>
      </c>
      <c r="F22" s="11">
        <f>+ROUNDUP((F20*F21),2)</f>
        <v>196.53</v>
      </c>
    </row>
    <row r="23" spans="1:9" ht="12.75">
      <c r="A23" s="1"/>
      <c r="B23" s="8">
        <f>TRUNC(20.5173*(15.5-B22)^1.92)</f>
        <v>772</v>
      </c>
      <c r="C23" s="8">
        <f>TRUNC(0.14354*(C22-220)^1.4)</f>
        <v>720</v>
      </c>
      <c r="D23" s="8">
        <f>TRUNC(51.39*(D22-1.5)^1.05)</f>
        <v>702</v>
      </c>
      <c r="E23" s="8">
        <f>TRUNC(0.8465*(E22-75)^1.42)</f>
        <v>644</v>
      </c>
      <c r="F23" s="8">
        <f>TRUNC(0.08713*(305.5-F22)^1.85)</f>
        <v>511</v>
      </c>
      <c r="G23" s="15">
        <f>SUM(B23:F23)</f>
        <v>3349</v>
      </c>
      <c r="H23" s="42" t="s">
        <v>93</v>
      </c>
      <c r="I23" s="15"/>
    </row>
    <row r="24" spans="2:6" ht="12.75">
      <c r="B24" s="16"/>
      <c r="C24" s="3"/>
      <c r="D24" s="3"/>
      <c r="E24" s="3"/>
      <c r="F24" s="3"/>
    </row>
    <row r="25" spans="1:13" ht="12.75">
      <c r="A25" s="10">
        <v>50</v>
      </c>
      <c r="B25" s="7">
        <v>9.41</v>
      </c>
      <c r="C25" s="8">
        <v>535</v>
      </c>
      <c r="D25" s="7">
        <v>10.57</v>
      </c>
      <c r="E25" s="8">
        <v>151</v>
      </c>
      <c r="F25" s="7">
        <v>195.74</v>
      </c>
      <c r="H25" s="7"/>
      <c r="I25" s="7"/>
      <c r="J25" s="8"/>
      <c r="K25" s="7"/>
      <c r="L25" s="8"/>
      <c r="M25" s="7"/>
    </row>
    <row r="26" spans="1:6" ht="12.75">
      <c r="A26" s="2"/>
      <c r="B26" s="2">
        <v>0.8922</v>
      </c>
      <c r="C26" s="2">
        <v>1.2286</v>
      </c>
      <c r="D26" s="2">
        <v>1.1721</v>
      </c>
      <c r="E26" s="2">
        <v>1.1617</v>
      </c>
      <c r="F26" s="2">
        <v>0.8755</v>
      </c>
    </row>
    <row r="27" spans="1:6" ht="12.75">
      <c r="A27" s="2"/>
      <c r="B27" s="11">
        <f>+ROUNDUP((B25*B26),2)</f>
        <v>8.4</v>
      </c>
      <c r="C27" s="1">
        <f>+TRUNC((C25*C26),0)</f>
        <v>657</v>
      </c>
      <c r="D27" s="11">
        <f>+TRUNC((D25*D26),2)</f>
        <v>12.38</v>
      </c>
      <c r="E27" s="1">
        <f>+TRUNC((E25*E26),0)</f>
        <v>175</v>
      </c>
      <c r="F27" s="11">
        <f>+ROUNDUP((F25*F26),2)</f>
        <v>171.38</v>
      </c>
    </row>
    <row r="28" spans="1:9" ht="12.75">
      <c r="A28" s="1"/>
      <c r="B28" s="8">
        <f>TRUNC(20.5173*(15.5-B27)^1.92)</f>
        <v>884</v>
      </c>
      <c r="C28" s="8">
        <f>TRUNC(0.14354*(C27-220)^1.4)</f>
        <v>713</v>
      </c>
      <c r="D28" s="8">
        <f>TRUNC(51.39*(D27-1.5)^1.05)</f>
        <v>629</v>
      </c>
      <c r="E28" s="8">
        <f>TRUNC(0.8465*(E27-75)^1.42)</f>
        <v>585</v>
      </c>
      <c r="F28" s="8">
        <f>TRUNC(0.08713*(305.5-F27)^1.85)</f>
        <v>751</v>
      </c>
      <c r="G28" s="15">
        <f>SUM(B28:F28)</f>
        <v>3562</v>
      </c>
      <c r="H28" t="s">
        <v>40</v>
      </c>
      <c r="I28" s="15"/>
    </row>
    <row r="29" spans="2:6" ht="12.75">
      <c r="B29" s="16"/>
      <c r="C29" s="3"/>
      <c r="D29" s="3"/>
      <c r="E29" s="3"/>
      <c r="F29" s="3"/>
    </row>
    <row r="30" spans="1:13" ht="12.75">
      <c r="A30" s="10">
        <v>55</v>
      </c>
      <c r="B30" s="7">
        <v>9.36</v>
      </c>
      <c r="C30" s="8">
        <v>566</v>
      </c>
      <c r="D30" s="7">
        <v>13</v>
      </c>
      <c r="E30" s="8">
        <v>151</v>
      </c>
      <c r="F30" s="7">
        <f>3*60+55.41</f>
        <v>235.41</v>
      </c>
      <c r="H30" s="7"/>
      <c r="I30" s="8"/>
      <c r="J30" s="7"/>
      <c r="K30" s="8"/>
      <c r="L30" s="7"/>
      <c r="M30" s="7"/>
    </row>
    <row r="31" spans="1:6" ht="12.75">
      <c r="A31" s="2"/>
      <c r="B31" s="2">
        <v>0.855</v>
      </c>
      <c r="C31" s="2">
        <v>1.3121</v>
      </c>
      <c r="D31" s="2">
        <v>1.2706</v>
      </c>
      <c r="E31" s="2">
        <v>1.228</v>
      </c>
      <c r="F31" s="2">
        <v>0.8364</v>
      </c>
    </row>
    <row r="32" spans="1:6" ht="12.75">
      <c r="A32" s="2"/>
      <c r="B32" s="11">
        <f>+ROUNDUP((B30*B31),2)</f>
        <v>8.01</v>
      </c>
      <c r="C32" s="1">
        <f>+TRUNC((C30*C31),0)</f>
        <v>742</v>
      </c>
      <c r="D32" s="11">
        <f>+TRUNC((D30*D31),2)</f>
        <v>16.51</v>
      </c>
      <c r="E32" s="1">
        <f>+TRUNC((E30*E31),0)</f>
        <v>185</v>
      </c>
      <c r="F32" s="11">
        <f>+ROUNDUP((F30*F31),2)</f>
        <v>196.89999999999998</v>
      </c>
    </row>
    <row r="33" spans="1:9" ht="12.75">
      <c r="A33" s="1"/>
      <c r="B33" s="8">
        <f>TRUNC(20.5173*(15.5-B32)^1.92)</f>
        <v>979</v>
      </c>
      <c r="C33" s="8">
        <f>TRUNC(0.14354*(C32-220)^1.4)</f>
        <v>915</v>
      </c>
      <c r="D33" s="8">
        <f>TRUNC(51.39*(D32-1.5)^1.05)</f>
        <v>883</v>
      </c>
      <c r="E33" s="8">
        <f>TRUNC(0.8465*(E32-75)^1.42)</f>
        <v>670</v>
      </c>
      <c r="F33" s="8">
        <f>TRUNC(0.08713*(305.5-F32)^1.85)</f>
        <v>508</v>
      </c>
      <c r="G33" s="15">
        <f>SUM(B33:F33)</f>
        <v>3955</v>
      </c>
      <c r="H33" s="42" t="s">
        <v>94</v>
      </c>
      <c r="I33" s="15"/>
    </row>
    <row r="34" spans="1:6" ht="12.75">
      <c r="A34" t="s">
        <v>0</v>
      </c>
      <c r="B34" s="16"/>
      <c r="C34" s="2"/>
      <c r="D34" s="2"/>
      <c r="E34" s="2"/>
      <c r="F34" s="2"/>
    </row>
    <row r="35" spans="1:13" ht="12.75">
      <c r="A35" s="10">
        <v>60</v>
      </c>
      <c r="B35" s="7">
        <v>9.47</v>
      </c>
      <c r="C35" s="8">
        <v>440</v>
      </c>
      <c r="D35" s="7">
        <v>11.82</v>
      </c>
      <c r="E35" s="8">
        <v>157</v>
      </c>
      <c r="F35" s="7">
        <v>236.39</v>
      </c>
      <c r="H35" s="7"/>
      <c r="I35" s="8"/>
      <c r="J35" s="7"/>
      <c r="K35" s="8"/>
      <c r="L35" s="7"/>
      <c r="M35" s="7"/>
    </row>
    <row r="36" spans="1:6" ht="12.75">
      <c r="A36" s="2"/>
      <c r="B36" s="2">
        <v>0.8312</v>
      </c>
      <c r="C36" s="2">
        <v>1.4078</v>
      </c>
      <c r="D36" s="2">
        <v>1.2482</v>
      </c>
      <c r="E36" s="2">
        <v>1.3025</v>
      </c>
      <c r="F36" s="2">
        <v>0.7968</v>
      </c>
    </row>
    <row r="37" spans="1:6" ht="12.75">
      <c r="A37" s="2"/>
      <c r="B37" s="11">
        <f>+ROUNDUP((B35*B36),2)</f>
        <v>7.88</v>
      </c>
      <c r="C37" s="1">
        <f>+TRUNC((C35*C36),0)</f>
        <v>619</v>
      </c>
      <c r="D37" s="11">
        <f>+TRUNC((D35*D36),2)</f>
        <v>14.75</v>
      </c>
      <c r="E37" s="1">
        <f>+TRUNC((E35*E36),0)</f>
        <v>204</v>
      </c>
      <c r="F37" s="11">
        <f>+ROUNDUP((F35*F36),2)</f>
        <v>188.35999999999999</v>
      </c>
    </row>
    <row r="38" spans="1:9" ht="12.75">
      <c r="A38" s="1"/>
      <c r="B38" s="8">
        <f>TRUNC(20.5173*(15.5-B37)^1.92)</f>
        <v>1012</v>
      </c>
      <c r="C38" s="8">
        <f>TRUNC(0.14354*(C37-220)^1.4)</f>
        <v>628</v>
      </c>
      <c r="D38" s="8">
        <f>TRUNC(51.39*(D37-1.5)^1.05)</f>
        <v>774</v>
      </c>
      <c r="E38" s="8">
        <f>TRUNC(0.8465*(E37-75)^1.42)</f>
        <v>840</v>
      </c>
      <c r="F38" s="8">
        <f>TRUNC(0.08713*(305.5-F37)^1.85)</f>
        <v>585</v>
      </c>
      <c r="G38" s="15">
        <f>SUM(B38:F38)</f>
        <v>3839</v>
      </c>
      <c r="H38" t="s">
        <v>41</v>
      </c>
      <c r="I38" s="15"/>
    </row>
    <row r="39" spans="2:6" ht="12.75">
      <c r="B39" s="16"/>
      <c r="C39" s="3"/>
      <c r="D39" s="3"/>
      <c r="E39" s="3"/>
      <c r="F39" s="3"/>
    </row>
    <row r="40" spans="1:13" ht="12.75">
      <c r="A40" s="10">
        <v>65</v>
      </c>
      <c r="B40" s="7">
        <v>10.13</v>
      </c>
      <c r="C40" s="8">
        <v>440</v>
      </c>
      <c r="D40" s="7">
        <v>11.51</v>
      </c>
      <c r="E40" s="8">
        <v>151</v>
      </c>
      <c r="F40" s="7">
        <f>4*60+10.51</f>
        <v>250.51</v>
      </c>
      <c r="H40" s="46"/>
      <c r="I40" s="8"/>
      <c r="J40" s="7"/>
      <c r="K40" s="8"/>
      <c r="L40" s="7"/>
      <c r="M40" s="7"/>
    </row>
    <row r="41" spans="1:6" ht="12.75">
      <c r="A41" s="2"/>
      <c r="B41" s="2">
        <v>0.794</v>
      </c>
      <c r="C41" s="2">
        <v>1.5186</v>
      </c>
      <c r="D41" s="2">
        <v>1.3607</v>
      </c>
      <c r="E41" s="2">
        <v>1.3869</v>
      </c>
      <c r="F41" s="2">
        <v>0.7561</v>
      </c>
    </row>
    <row r="42" spans="1:6" ht="12.75">
      <c r="A42" s="2"/>
      <c r="B42" s="11">
        <f>+ROUNDUP((B40*B41),2)</f>
        <v>8.049999999999999</v>
      </c>
      <c r="C42" s="1">
        <f>+TRUNC((C40*C41),0)</f>
        <v>668</v>
      </c>
      <c r="D42" s="11">
        <f>+TRUNC((D40*D41),2)</f>
        <v>15.66</v>
      </c>
      <c r="E42" s="1">
        <f>+TRUNC((E40*E41),0)</f>
        <v>209</v>
      </c>
      <c r="F42" s="11">
        <f>+ROUNDUP((F40*F41),2)</f>
        <v>189.42</v>
      </c>
    </row>
    <row r="43" spans="1:9" ht="12.75">
      <c r="A43" s="1"/>
      <c r="B43" s="8">
        <f>TRUNC(20.5173*(15.5-B42)^1.92)</f>
        <v>969</v>
      </c>
      <c r="C43" s="8">
        <f>TRUNC(0.14354*(C42-220)^1.4)</f>
        <v>739</v>
      </c>
      <c r="D43" s="8">
        <f>TRUNC(51.39*(D42-1.5)^1.05)</f>
        <v>830</v>
      </c>
      <c r="E43" s="8">
        <f>TRUNC(0.8465*(E42-75)^1.42)</f>
        <v>887</v>
      </c>
      <c r="F43" s="8">
        <f>TRUNC(0.08713*(305.5-F42)^1.85)</f>
        <v>575</v>
      </c>
      <c r="G43" s="15">
        <f>SUM(B43:F43)</f>
        <v>4000</v>
      </c>
      <c r="H43" t="s">
        <v>41</v>
      </c>
      <c r="I43" s="15"/>
    </row>
    <row r="44" spans="2:6" ht="12.75">
      <c r="B44" s="16"/>
      <c r="C44" s="2"/>
      <c r="D44" s="2"/>
      <c r="E44" s="2"/>
      <c r="F44" s="2"/>
    </row>
    <row r="45" spans="1:12" ht="12.75">
      <c r="A45" s="10">
        <v>70</v>
      </c>
      <c r="B45" s="7">
        <v>11.38</v>
      </c>
      <c r="C45" s="8">
        <v>418</v>
      </c>
      <c r="D45" s="7">
        <v>12.41</v>
      </c>
      <c r="E45" s="8">
        <v>131</v>
      </c>
      <c r="F45" s="7">
        <f>4*60+33.93</f>
        <v>273.93</v>
      </c>
      <c r="H45" s="7"/>
      <c r="I45" s="8"/>
      <c r="J45" s="7"/>
      <c r="K45" s="8"/>
      <c r="L45" s="7"/>
    </row>
    <row r="46" spans="1:6" ht="12.75">
      <c r="A46" s="2"/>
      <c r="B46" s="2">
        <v>0.7714</v>
      </c>
      <c r="C46" s="2">
        <v>1.6482</v>
      </c>
      <c r="D46" s="57">
        <v>1.2806</v>
      </c>
      <c r="E46" s="2">
        <v>1.4832</v>
      </c>
      <c r="F46" s="2">
        <v>0.7111</v>
      </c>
    </row>
    <row r="47" spans="1:6" ht="12.75">
      <c r="A47" s="2"/>
      <c r="B47" s="11">
        <f>+ROUNDUP((B45*B46),2)</f>
        <v>8.78</v>
      </c>
      <c r="C47" s="1">
        <f>+TRUNC((C45*C46),0)</f>
        <v>688</v>
      </c>
      <c r="D47" s="11">
        <f>+TRUNC((D45*D46),2)</f>
        <v>15.89</v>
      </c>
      <c r="E47" s="1">
        <f>+TRUNC((E45*E46),0)</f>
        <v>194</v>
      </c>
      <c r="F47" s="11">
        <f>+ROUNDUP((F45*F46),2)</f>
        <v>194.79999999999998</v>
      </c>
    </row>
    <row r="48" spans="1:9" ht="12.75">
      <c r="A48" s="1"/>
      <c r="B48" s="8">
        <f>TRUNC(20.5173*(15.5-B47)^1.92)</f>
        <v>795</v>
      </c>
      <c r="C48" s="8">
        <f>TRUNC(0.14354*(C47-220)^1.4)</f>
        <v>785</v>
      </c>
      <c r="D48" s="8">
        <f>TRUNC(51.39*(D47-1.5)^1.05)</f>
        <v>844</v>
      </c>
      <c r="E48" s="8">
        <f>TRUNC(0.8465*(E47-75)^1.42)</f>
        <v>749</v>
      </c>
      <c r="F48" s="8">
        <f>TRUNC(0.08713*(305.5-F47)^1.85)</f>
        <v>527</v>
      </c>
      <c r="G48" s="15">
        <f>SUM(B48:F48)</f>
        <v>3700</v>
      </c>
      <c r="H48" t="s">
        <v>52</v>
      </c>
      <c r="I48" s="15"/>
    </row>
    <row r="49" spans="2:6" ht="12.75">
      <c r="B49" s="16"/>
      <c r="C49" s="2"/>
      <c r="D49" s="2"/>
      <c r="E49" s="2"/>
      <c r="F49" s="2"/>
    </row>
    <row r="50" spans="1:12" ht="12.75">
      <c r="A50" s="10">
        <v>75</v>
      </c>
      <c r="B50" s="7">
        <v>12.01</v>
      </c>
      <c r="C50" s="4">
        <v>364</v>
      </c>
      <c r="D50" s="7">
        <v>9.44</v>
      </c>
      <c r="E50" s="8">
        <v>124</v>
      </c>
      <c r="F50" s="7">
        <f>4*60+12.8</f>
        <v>252.8</v>
      </c>
      <c r="H50" s="7"/>
      <c r="I50" s="8"/>
      <c r="J50" s="7"/>
      <c r="K50" s="8"/>
      <c r="L50" s="7"/>
    </row>
    <row r="51" spans="1:6" ht="12.75">
      <c r="A51" s="2"/>
      <c r="B51" s="2">
        <v>0.7328</v>
      </c>
      <c r="C51" s="2">
        <v>1.8021</v>
      </c>
      <c r="D51" s="57">
        <v>1.3993</v>
      </c>
      <c r="E51" s="2">
        <v>1.5943</v>
      </c>
      <c r="F51" s="2">
        <v>0.6588</v>
      </c>
    </row>
    <row r="52" spans="1:6" ht="12.75">
      <c r="A52" s="2"/>
      <c r="B52" s="11">
        <f>+ROUNDUP((B50*B51),2)</f>
        <v>8.81</v>
      </c>
      <c r="C52" s="1">
        <f>+TRUNC((C50*C51),0)</f>
        <v>655</v>
      </c>
      <c r="D52" s="11">
        <f>+TRUNC((D50*D51),2)</f>
        <v>13.2</v>
      </c>
      <c r="E52" s="1">
        <f>+TRUNC((E50*E51),0)</f>
        <v>197</v>
      </c>
      <c r="F52" s="11">
        <f>+ROUNDUP((F50*F51),2)</f>
        <v>166.54999999999998</v>
      </c>
    </row>
    <row r="53" spans="1:9" ht="12.75">
      <c r="A53" s="1"/>
      <c r="B53" s="8">
        <f>TRUNC(20.5173*(15.5-B52)^1.92)</f>
        <v>788</v>
      </c>
      <c r="C53" s="8">
        <f>TRUNC(0.14354*(C52-220)^1.4)</f>
        <v>709</v>
      </c>
      <c r="D53" s="8">
        <f>TRUNC(51.39*(D52-1.5)^1.05)</f>
        <v>679</v>
      </c>
      <c r="E53" s="8">
        <f>TRUNC(0.8465*(E52-75)^1.42)</f>
        <v>776</v>
      </c>
      <c r="F53" s="8">
        <f>TRUNC(0.08713*(305.5-F52)^1.85)</f>
        <v>802</v>
      </c>
      <c r="G53" s="15">
        <f>SUM(B53:F53)</f>
        <v>3754</v>
      </c>
      <c r="H53" s="42" t="s">
        <v>83</v>
      </c>
      <c r="I53" s="15"/>
    </row>
    <row r="54" spans="2:6" ht="12.75">
      <c r="B54" s="16"/>
      <c r="C54" s="2"/>
      <c r="D54" s="2"/>
      <c r="E54" s="2"/>
      <c r="F54" s="2"/>
    </row>
    <row r="55" spans="1:12" ht="12.75">
      <c r="A55" s="10">
        <v>80</v>
      </c>
      <c r="B55" s="7">
        <v>14</v>
      </c>
      <c r="C55" s="8">
        <v>331</v>
      </c>
      <c r="D55" s="7">
        <v>10.56</v>
      </c>
      <c r="E55" s="8">
        <v>115</v>
      </c>
      <c r="F55" s="7">
        <v>388.61</v>
      </c>
      <c r="H55" s="7"/>
      <c r="I55" s="8"/>
      <c r="J55" s="7"/>
      <c r="K55" s="8"/>
      <c r="L55" s="7"/>
    </row>
    <row r="56" spans="1:6" ht="12.75">
      <c r="A56" s="2"/>
      <c r="B56" s="2">
        <v>0.6826</v>
      </c>
      <c r="C56" s="2">
        <v>1.9876</v>
      </c>
      <c r="D56" s="57">
        <v>1.5053</v>
      </c>
      <c r="E56" s="2">
        <v>1.7241</v>
      </c>
      <c r="F56" s="2">
        <v>0.5952</v>
      </c>
    </row>
    <row r="57" spans="1:6" ht="12.75">
      <c r="A57" s="2"/>
      <c r="B57" s="11">
        <f>+ROUNDUP((B55*B56),2)</f>
        <v>9.56</v>
      </c>
      <c r="C57" s="1">
        <f>+TRUNC((C55*C56),0)</f>
        <v>657</v>
      </c>
      <c r="D57" s="22">
        <f>+TRUNC((D55*D56),2)</f>
        <v>15.89</v>
      </c>
      <c r="E57" s="1">
        <f>+TRUNC((E55*E56),0)</f>
        <v>198</v>
      </c>
      <c r="F57" s="11">
        <f>+ROUNDUP((F55*F56),2)</f>
        <v>231.31</v>
      </c>
    </row>
    <row r="58" spans="1:9" ht="12.75">
      <c r="A58" s="1"/>
      <c r="B58" s="8">
        <f>TRUNC(20.5173*(15.5-B57)^1.92)</f>
        <v>627</v>
      </c>
      <c r="C58" s="8">
        <f>TRUNC(0.14354*(C57-220)^1.4)</f>
        <v>713</v>
      </c>
      <c r="D58" s="23">
        <f>TRUNC(51.39*(D57-1.5)^1.05)</f>
        <v>844</v>
      </c>
      <c r="E58" s="8">
        <f>TRUNC(0.8465*(E57-75)^1.42)</f>
        <v>785</v>
      </c>
      <c r="F58" s="8">
        <f>TRUNC(0.08713*(305.5-F57)^1.85)</f>
        <v>251</v>
      </c>
      <c r="G58" s="15">
        <f>SUM(B58:F58)</f>
        <v>3220</v>
      </c>
      <c r="H58" t="s">
        <v>42</v>
      </c>
      <c r="I58" s="15"/>
    </row>
    <row r="59" spans="2:6" ht="12.75">
      <c r="B59" s="16"/>
      <c r="C59" s="2"/>
      <c r="D59" s="21"/>
      <c r="E59" s="2"/>
      <c r="F59" s="2"/>
    </row>
    <row r="60" spans="1:12" ht="12.75">
      <c r="A60" s="10">
        <v>85</v>
      </c>
      <c r="B60" s="7">
        <v>15.7</v>
      </c>
      <c r="C60" s="8">
        <v>235</v>
      </c>
      <c r="D60" s="7">
        <v>8</v>
      </c>
      <c r="E60" s="8">
        <v>103</v>
      </c>
      <c r="F60" s="7">
        <f>7*60+42.21</f>
        <v>462.21</v>
      </c>
      <c r="H60" s="7"/>
      <c r="I60" s="8"/>
      <c r="J60" s="7"/>
      <c r="K60" s="8"/>
      <c r="L60" s="7"/>
    </row>
    <row r="61" spans="1:6" ht="12.75">
      <c r="A61" s="2"/>
      <c r="B61" s="2">
        <v>0.6178</v>
      </c>
      <c r="C61" s="2">
        <v>2.2158</v>
      </c>
      <c r="D61" s="57">
        <v>1.6866</v>
      </c>
      <c r="E61" s="2">
        <v>1.8779</v>
      </c>
      <c r="F61" s="2">
        <v>0.5153</v>
      </c>
    </row>
    <row r="62" spans="1:6" ht="12.75">
      <c r="A62" s="2"/>
      <c r="B62" s="11">
        <f>+ROUNDUP((B60*B61),2)</f>
        <v>9.7</v>
      </c>
      <c r="C62" s="1">
        <f>+TRUNC((C60*C61),0)</f>
        <v>520</v>
      </c>
      <c r="D62" s="22">
        <f>+TRUNC((D60*D61),2)</f>
        <v>13.49</v>
      </c>
      <c r="E62" s="1">
        <f>+TRUNC((E60*E61),0)</f>
        <v>193</v>
      </c>
      <c r="F62" s="11">
        <f>+ROUNDUP((F60*F61),2)</f>
        <v>238.17999999999998</v>
      </c>
    </row>
    <row r="63" spans="1:9" ht="12.75">
      <c r="A63" s="1"/>
      <c r="B63" s="8">
        <f>TRUNC(20.5173*(15.5-B62)^1.92)</f>
        <v>599</v>
      </c>
      <c r="C63" s="8">
        <f>TRUNC(0.14354*(C62-220)^1.4)</f>
        <v>421</v>
      </c>
      <c r="D63" s="23">
        <f>TRUNC(51.39*(D62-1.5)^1.05)</f>
        <v>697</v>
      </c>
      <c r="E63" s="8">
        <f>TRUNC(0.8465*(E62-75)^1.42)</f>
        <v>740</v>
      </c>
      <c r="F63" s="8">
        <f>TRUNC(0.08713*(305.5-F62)^1.85)</f>
        <v>210</v>
      </c>
      <c r="G63" s="15">
        <f>SUM(B63:F63)</f>
        <v>2667</v>
      </c>
      <c r="H63" t="s">
        <v>92</v>
      </c>
      <c r="I63" s="15"/>
    </row>
    <row r="64" spans="2:6" ht="12.75">
      <c r="B64" s="16"/>
      <c r="C64" s="2"/>
      <c r="D64" s="21"/>
      <c r="E64" s="2"/>
      <c r="F64" s="2"/>
    </row>
    <row r="65" spans="1:12" ht="12.75">
      <c r="A65" s="10">
        <v>90</v>
      </c>
      <c r="B65" s="7">
        <v>14</v>
      </c>
      <c r="C65" s="8">
        <v>331</v>
      </c>
      <c r="D65" s="7">
        <v>10.56</v>
      </c>
      <c r="E65" s="8">
        <v>115</v>
      </c>
      <c r="F65" s="7">
        <v>388.61</v>
      </c>
      <c r="H65" s="7"/>
      <c r="I65" s="8"/>
      <c r="J65" s="7"/>
      <c r="K65" s="8"/>
      <c r="L65" s="7"/>
    </row>
    <row r="66" spans="1:6" ht="12.75">
      <c r="A66" s="2"/>
      <c r="B66" s="2">
        <v>0.5001</v>
      </c>
      <c r="C66" s="2">
        <v>2.5031</v>
      </c>
      <c r="D66" s="57">
        <v>1.9535</v>
      </c>
      <c r="E66" s="2">
        <v>2.0635</v>
      </c>
      <c r="F66" s="2">
        <v>0.4127</v>
      </c>
    </row>
    <row r="67" spans="1:6" ht="12.75">
      <c r="A67" s="2"/>
      <c r="B67" s="11">
        <f>+ROUNDUP((B65*B66),2)</f>
        <v>7.01</v>
      </c>
      <c r="C67" s="1">
        <f>+TRUNC((C65*C66),0)</f>
        <v>828</v>
      </c>
      <c r="D67" s="22">
        <f>+TRUNC((D65*D66),2)</f>
        <v>20.62</v>
      </c>
      <c r="E67" s="1">
        <f>+TRUNC((E65*E66),0)</f>
        <v>237</v>
      </c>
      <c r="F67" s="11">
        <f>+ROUNDUP((F65*F66),2)</f>
        <v>160.38</v>
      </c>
    </row>
    <row r="68" spans="1:9" ht="12.75">
      <c r="A68" s="1"/>
      <c r="B68" s="8">
        <f>TRUNC(20.5173*(15.5-B67)^1.92)</f>
        <v>1246</v>
      </c>
      <c r="C68" s="8">
        <f>TRUNC(0.14354*(C67-220)^1.4)</f>
        <v>1133</v>
      </c>
      <c r="D68" s="23">
        <f>TRUNC(51.39*(D67-1.5)^1.05)</f>
        <v>1138</v>
      </c>
      <c r="E68" s="8">
        <f>TRUNC(0.8465*(E67-75)^1.42)</f>
        <v>1161</v>
      </c>
      <c r="F68" s="8">
        <f>TRUNC(0.08713*(305.5-F67)^1.85)</f>
        <v>869</v>
      </c>
      <c r="G68" s="15">
        <f>SUM(B68:F68)</f>
        <v>5547</v>
      </c>
      <c r="I68" s="15"/>
    </row>
    <row r="69" spans="2:6" ht="12.75">
      <c r="B69" s="16"/>
      <c r="C69" s="2"/>
      <c r="D69" s="21"/>
      <c r="E69" s="2"/>
      <c r="F69" s="2"/>
    </row>
    <row r="70" spans="1:12" ht="12.75">
      <c r="A70" s="10">
        <v>95</v>
      </c>
      <c r="B70" s="7">
        <v>14</v>
      </c>
      <c r="C70" s="8">
        <v>999</v>
      </c>
      <c r="D70" s="25">
        <v>99.99</v>
      </c>
      <c r="E70" s="8">
        <v>999</v>
      </c>
      <c r="F70" s="7">
        <v>999.99</v>
      </c>
      <c r="H70" s="7"/>
      <c r="I70" s="8"/>
      <c r="J70" s="7"/>
      <c r="K70" s="8"/>
      <c r="L70" s="7"/>
    </row>
    <row r="71" spans="1:6" ht="12.75">
      <c r="A71" s="2"/>
      <c r="B71" s="57">
        <v>0.4119</v>
      </c>
      <c r="C71" s="2">
        <v>2.876</v>
      </c>
      <c r="D71" s="58">
        <v>2.4044</v>
      </c>
      <c r="E71" s="2">
        <v>2.2925</v>
      </c>
      <c r="F71" s="2">
        <v>0.2791</v>
      </c>
    </row>
    <row r="72" spans="1:6" ht="12.75">
      <c r="A72" s="2"/>
      <c r="B72" s="11">
        <f>+ROUNDUP((B70*B71),2)</f>
        <v>5.77</v>
      </c>
      <c r="C72" s="1">
        <f>+TRUNC((C70*C71),0)</f>
        <v>2873</v>
      </c>
      <c r="D72" s="22">
        <f>+TRUNC((D70*D71),2)</f>
        <v>240.41</v>
      </c>
      <c r="E72" s="1">
        <f>+TRUNC((E70*E71),0)</f>
        <v>2290</v>
      </c>
      <c r="F72" s="11">
        <f>+ROUNDUP((F70*F71),2)</f>
        <v>279.09999999999997</v>
      </c>
    </row>
    <row r="73" spans="1:9" ht="12.75">
      <c r="A73" s="1"/>
      <c r="B73" s="8">
        <f>TRUNC(20.5173*(15.5-B72)^1.92)</f>
        <v>1619</v>
      </c>
      <c r="C73" s="8">
        <f>TRUNC(0.14354*(C72-220)^1.4)</f>
        <v>8916</v>
      </c>
      <c r="D73" s="23">
        <f>TRUNC(51.39*(D72-1.5)^1.05)</f>
        <v>16144</v>
      </c>
      <c r="E73" s="8">
        <f>TRUNC(0.8465*(E72-75)^1.42)</f>
        <v>47649</v>
      </c>
      <c r="F73" s="8">
        <f>TRUNC(0.08713*(305.5-F72)^1.85)</f>
        <v>37</v>
      </c>
      <c r="G73" s="15">
        <f>SUM(B73:F73)</f>
        <v>74365</v>
      </c>
      <c r="I73" s="15"/>
    </row>
    <row r="74" spans="2:6" ht="12.75">
      <c r="B74" s="4"/>
      <c r="C74" s="2"/>
      <c r="D74" s="21"/>
      <c r="E74" s="2"/>
      <c r="F74" s="2"/>
    </row>
    <row r="75" spans="1:6" ht="12.75">
      <c r="A75" s="10" t="s">
        <v>9</v>
      </c>
      <c r="B75" s="7">
        <v>14</v>
      </c>
      <c r="C75" s="8">
        <v>999</v>
      </c>
      <c r="D75" s="25">
        <v>99.99</v>
      </c>
      <c r="E75" s="8">
        <v>999</v>
      </c>
      <c r="F75" s="7">
        <v>999.99</v>
      </c>
    </row>
    <row r="76" spans="1:6" ht="12.75">
      <c r="A76" s="2"/>
      <c r="B76" s="57">
        <v>0.3137</v>
      </c>
      <c r="C76" s="57">
        <v>6.4392</v>
      </c>
      <c r="D76" s="57">
        <v>3.3512</v>
      </c>
      <c r="E76" s="57">
        <v>3.5</v>
      </c>
      <c r="F76" s="57">
        <v>0.1908</v>
      </c>
    </row>
    <row r="77" spans="1:6" ht="12.75">
      <c r="A77" s="2"/>
      <c r="B77" s="11">
        <f>+ROUNDUP((B75*B76),2)</f>
        <v>4.3999999999999995</v>
      </c>
      <c r="C77" s="1">
        <f>+TRUNC((C75*C76),0)</f>
        <v>6432</v>
      </c>
      <c r="D77" s="11">
        <f>+TRUNC((D75*D76),2)</f>
        <v>335.08</v>
      </c>
      <c r="E77" s="1">
        <f>+TRUNC((E75*E76),0)</f>
        <v>3496</v>
      </c>
      <c r="F77" s="11">
        <f>+ROUNDUP((F75*F76),2)</f>
        <v>190.79999999999998</v>
      </c>
    </row>
    <row r="78" spans="1:9" ht="12.75">
      <c r="A78" s="1"/>
      <c r="B78" s="8">
        <f>TRUNC(20.5173*(15.5-B77)^1.92)</f>
        <v>2085</v>
      </c>
      <c r="C78" s="8">
        <f>TRUNC(0.14354*(C77-220)^1.4)</f>
        <v>29342</v>
      </c>
      <c r="D78" s="8">
        <f>TRUNC(51.39*(D77-1.5)^1.05)</f>
        <v>22921</v>
      </c>
      <c r="E78" s="8">
        <f>TRUNC(0.8465*(E77-75)^1.42)</f>
        <v>88333</v>
      </c>
      <c r="F78" s="8">
        <f>TRUNC(0.08713*(305.5-F77)^1.85)</f>
        <v>562</v>
      </c>
      <c r="G78" s="15">
        <f>SUM(B78:F78)</f>
        <v>143243</v>
      </c>
      <c r="I78" s="15"/>
    </row>
    <row r="79" spans="2:6" ht="12.75">
      <c r="B79" s="4"/>
      <c r="C79" s="2"/>
      <c r="D79" s="2"/>
      <c r="E79" s="2"/>
      <c r="F79" s="2"/>
    </row>
    <row r="80" spans="2:6" ht="12.75">
      <c r="B80" s="2"/>
      <c r="C80" s="2"/>
      <c r="D80" s="2"/>
      <c r="E80" s="2"/>
      <c r="F80" s="2"/>
    </row>
    <row r="81" spans="2:6" ht="12.75">
      <c r="B81" s="2"/>
      <c r="C81" s="2"/>
      <c r="D81" s="2"/>
      <c r="E81" s="2"/>
      <c r="F81" s="2"/>
    </row>
    <row r="82" spans="2:6" ht="12.75">
      <c r="B82" s="2"/>
      <c r="C82" s="2"/>
      <c r="D82" s="2"/>
      <c r="E82" s="2"/>
      <c r="F82" s="2"/>
    </row>
    <row r="83" spans="2:6" ht="12.75">
      <c r="B83" s="2"/>
      <c r="C83" s="2"/>
      <c r="D83" s="2"/>
      <c r="E83" s="2"/>
      <c r="F83" s="2"/>
    </row>
    <row r="84" spans="2:6" ht="12.75">
      <c r="B84" s="2"/>
      <c r="C84" s="2"/>
      <c r="D84" s="2"/>
      <c r="E84" s="2"/>
      <c r="F84" s="2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2:6" ht="12.75">
      <c r="B87" s="2"/>
      <c r="C87" s="2"/>
      <c r="D87" s="2"/>
      <c r="E87" s="2"/>
      <c r="F87" s="2"/>
    </row>
    <row r="88" spans="2:6" ht="12.75">
      <c r="B88" s="2"/>
      <c r="C88" s="2"/>
      <c r="D88" s="2"/>
      <c r="E88" s="2"/>
      <c r="F88" s="2"/>
    </row>
    <row r="89" ht="12.75">
      <c r="B89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EKE-Electronics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Risto Karasmaa</dc:creator>
  <cp:keywords/>
  <dc:description/>
  <cp:lastModifiedBy>merja.masalin</cp:lastModifiedBy>
  <cp:lastPrinted>2010-01-14T01:18:36Z</cp:lastPrinted>
  <dcterms:created xsi:type="dcterms:W3CDTF">2001-08-20T05:54:28Z</dcterms:created>
  <dcterms:modified xsi:type="dcterms:W3CDTF">2014-02-10T12:46:02Z</dcterms:modified>
  <cp:category/>
  <cp:version/>
  <cp:contentType/>
  <cp:contentStatus/>
</cp:coreProperties>
</file>